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przedaszek\Desktop\SPRAWOZDANIE 2016 - II kwartał\"/>
    </mc:Choice>
  </mc:AlternateContent>
  <bookViews>
    <workbookView xWindow="0" yWindow="0" windowWidth="28800" windowHeight="12435"/>
  </bookViews>
  <sheets>
    <sheet name="WPF a Rb (wybr okr)" sheetId="1" r:id="rId1"/>
  </sheets>
  <externalReferences>
    <externalReference r:id="rId2"/>
  </externalReferences>
  <definedNames>
    <definedName name="_xlnm._FilterDatabase" localSheetId="0" hidden="1">'WPF a Rb (wybr okr)'!$B$9:$Q$114</definedName>
    <definedName name="KwartalRb">[1]metodologia!$B$5</definedName>
    <definedName name="_xlnm.Print_Area" localSheetId="0">'WPF a Rb (wybr okr)'!$A$9:$M$110</definedName>
    <definedName name="Rok_bazowy">[1]DaneZrodlowe!$N$1</definedName>
    <definedName name="RokRb">[1]metodologia!$B$4</definedName>
    <definedName name="SzczegolowoscDanych">[1]metodologia!$J$6</definedName>
    <definedName name="_xlnm.Print_Titles" localSheetId="0">'WPF a Rb (wybr okr)'!$A:$E,'WPF a Rb (wybr okr)'!$8:$9</definedName>
    <definedName name="WydatkiPar">[1]metodologia!$J$7</definedName>
    <definedName name="WydatkiParBud">[1]metodologia!$J$8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4" i="1" l="1"/>
  <c r="Q114" i="1"/>
  <c r="P114" i="1"/>
  <c r="O114" i="1"/>
  <c r="J114" i="1"/>
  <c r="R113" i="1"/>
  <c r="Q113" i="1"/>
  <c r="P113" i="1"/>
  <c r="O113" i="1"/>
  <c r="J113" i="1"/>
  <c r="R112" i="1"/>
  <c r="Q112" i="1"/>
  <c r="P112" i="1"/>
  <c r="O112" i="1"/>
  <c r="J112" i="1"/>
  <c r="R110" i="1"/>
  <c r="Q110" i="1"/>
  <c r="P110" i="1"/>
  <c r="O110" i="1"/>
  <c r="J110" i="1"/>
  <c r="R109" i="1"/>
  <c r="Q109" i="1"/>
  <c r="P109" i="1"/>
  <c r="O109" i="1"/>
  <c r="J109" i="1"/>
  <c r="R108" i="1"/>
  <c r="Q108" i="1"/>
  <c r="P108" i="1"/>
  <c r="O108" i="1"/>
  <c r="J108" i="1"/>
  <c r="R107" i="1"/>
  <c r="Q107" i="1"/>
  <c r="P107" i="1"/>
  <c r="O107" i="1"/>
  <c r="J107" i="1"/>
  <c r="R106" i="1"/>
  <c r="Q106" i="1"/>
  <c r="P106" i="1"/>
  <c r="O106" i="1"/>
  <c r="J106" i="1"/>
  <c r="R105" i="1"/>
  <c r="Q105" i="1"/>
  <c r="P105" i="1"/>
  <c r="O105" i="1"/>
  <c r="J105" i="1"/>
  <c r="R104" i="1"/>
  <c r="Q104" i="1"/>
  <c r="P104" i="1"/>
  <c r="O104" i="1"/>
  <c r="J104" i="1"/>
  <c r="R102" i="1"/>
  <c r="Q102" i="1"/>
  <c r="Y102" i="1" s="1"/>
  <c r="P102" i="1"/>
  <c r="X102" i="1" s="1"/>
  <c r="O102" i="1"/>
  <c r="W102" i="1" s="1"/>
  <c r="L102" i="1"/>
  <c r="K102" i="1"/>
  <c r="N102" i="1" s="1"/>
  <c r="J102" i="1"/>
  <c r="V102" i="1" s="1"/>
  <c r="I102" i="1"/>
  <c r="U102" i="1" s="1"/>
  <c r="H102" i="1"/>
  <c r="G102" i="1"/>
  <c r="T102" i="1" s="1"/>
  <c r="F102" i="1"/>
  <c r="S102" i="1" s="1"/>
  <c r="S101" i="1"/>
  <c r="R101" i="1"/>
  <c r="Q101" i="1"/>
  <c r="Y101" i="1" s="1"/>
  <c r="P101" i="1"/>
  <c r="X101" i="1" s="1"/>
  <c r="O101" i="1"/>
  <c r="W101" i="1" s="1"/>
  <c r="L101" i="1"/>
  <c r="K101" i="1"/>
  <c r="N101" i="1" s="1"/>
  <c r="J101" i="1"/>
  <c r="V101" i="1" s="1"/>
  <c r="I101" i="1"/>
  <c r="U101" i="1" s="1"/>
  <c r="H101" i="1"/>
  <c r="G101" i="1"/>
  <c r="T101" i="1" s="1"/>
  <c r="F101" i="1"/>
  <c r="Y100" i="1"/>
  <c r="R100" i="1"/>
  <c r="Q100" i="1"/>
  <c r="P100" i="1"/>
  <c r="X100" i="1" s="1"/>
  <c r="O100" i="1"/>
  <c r="W100" i="1" s="1"/>
  <c r="N100" i="1"/>
  <c r="J100" i="1"/>
  <c r="T99" i="1"/>
  <c r="R99" i="1"/>
  <c r="Q99" i="1"/>
  <c r="Y99" i="1" s="1"/>
  <c r="P99" i="1"/>
  <c r="X99" i="1" s="1"/>
  <c r="O99" i="1"/>
  <c r="W99" i="1" s="1"/>
  <c r="L99" i="1"/>
  <c r="K99" i="1"/>
  <c r="N99" i="1" s="1"/>
  <c r="J99" i="1"/>
  <c r="M99" i="1" s="1"/>
  <c r="I99" i="1"/>
  <c r="U99" i="1" s="1"/>
  <c r="H99" i="1"/>
  <c r="G99" i="1"/>
  <c r="F99" i="1"/>
  <c r="S99" i="1" s="1"/>
  <c r="R98" i="1"/>
  <c r="Q98" i="1"/>
  <c r="P98" i="1"/>
  <c r="O98" i="1"/>
  <c r="J98" i="1"/>
  <c r="R97" i="1"/>
  <c r="Q97" i="1"/>
  <c r="P97" i="1"/>
  <c r="O97" i="1"/>
  <c r="J97" i="1"/>
  <c r="R96" i="1"/>
  <c r="Q96" i="1"/>
  <c r="P96" i="1"/>
  <c r="O96" i="1"/>
  <c r="J96" i="1"/>
  <c r="R94" i="1"/>
  <c r="Q94" i="1"/>
  <c r="P94" i="1"/>
  <c r="O94" i="1"/>
  <c r="J94" i="1"/>
  <c r="R93" i="1"/>
  <c r="Q93" i="1"/>
  <c r="P93" i="1"/>
  <c r="O93" i="1"/>
  <c r="J93" i="1"/>
  <c r="R92" i="1"/>
  <c r="Q92" i="1"/>
  <c r="P92" i="1"/>
  <c r="O92" i="1"/>
  <c r="J92" i="1"/>
  <c r="R91" i="1"/>
  <c r="Q91" i="1"/>
  <c r="P91" i="1"/>
  <c r="O91" i="1"/>
  <c r="J91" i="1"/>
  <c r="R90" i="1"/>
  <c r="Q90" i="1"/>
  <c r="P90" i="1"/>
  <c r="O90" i="1"/>
  <c r="J90" i="1"/>
  <c r="R89" i="1"/>
  <c r="Q89" i="1"/>
  <c r="P89" i="1"/>
  <c r="O89" i="1"/>
  <c r="J89" i="1"/>
  <c r="R88" i="1"/>
  <c r="Q88" i="1"/>
  <c r="P88" i="1"/>
  <c r="O88" i="1"/>
  <c r="J88" i="1"/>
  <c r="R87" i="1"/>
  <c r="Q87" i="1"/>
  <c r="P87" i="1"/>
  <c r="O87" i="1"/>
  <c r="J87" i="1"/>
  <c r="R86" i="1"/>
  <c r="Q86" i="1"/>
  <c r="P86" i="1"/>
  <c r="O86" i="1"/>
  <c r="J86" i="1"/>
  <c r="R85" i="1"/>
  <c r="Q85" i="1"/>
  <c r="Y85" i="1" s="1"/>
  <c r="P85" i="1"/>
  <c r="X85" i="1" s="1"/>
  <c r="O85" i="1"/>
  <c r="W85" i="1" s="1"/>
  <c r="L85" i="1"/>
  <c r="K85" i="1"/>
  <c r="N85" i="1" s="1"/>
  <c r="J85" i="1"/>
  <c r="M85" i="1" s="1"/>
  <c r="I85" i="1"/>
  <c r="H85" i="1"/>
  <c r="G85" i="1"/>
  <c r="F85" i="1"/>
  <c r="S85" i="1" s="1"/>
  <c r="R84" i="1"/>
  <c r="Q84" i="1"/>
  <c r="Y84" i="1" s="1"/>
  <c r="P84" i="1"/>
  <c r="X84" i="1" s="1"/>
  <c r="O84" i="1"/>
  <c r="W84" i="1" s="1"/>
  <c r="L84" i="1"/>
  <c r="K84" i="1"/>
  <c r="N84" i="1" s="1"/>
  <c r="J84" i="1"/>
  <c r="M84" i="1" s="1"/>
  <c r="I84" i="1"/>
  <c r="H84" i="1"/>
  <c r="G84" i="1"/>
  <c r="F84" i="1"/>
  <c r="S84" i="1" s="1"/>
  <c r="R83" i="1"/>
  <c r="Q83" i="1"/>
  <c r="P83" i="1"/>
  <c r="O83" i="1"/>
  <c r="J83" i="1"/>
  <c r="R82" i="1"/>
  <c r="Q82" i="1"/>
  <c r="Y82" i="1" s="1"/>
  <c r="P82" i="1"/>
  <c r="X82" i="1" s="1"/>
  <c r="O82" i="1"/>
  <c r="W82" i="1" s="1"/>
  <c r="L82" i="1"/>
  <c r="K82" i="1"/>
  <c r="N82" i="1" s="1"/>
  <c r="J82" i="1"/>
  <c r="V82" i="1" s="1"/>
  <c r="I82" i="1"/>
  <c r="U82" i="1" s="1"/>
  <c r="H82" i="1"/>
  <c r="G82" i="1"/>
  <c r="T82" i="1" s="1"/>
  <c r="F82" i="1"/>
  <c r="R81" i="1"/>
  <c r="Q81" i="1"/>
  <c r="Y81" i="1" s="1"/>
  <c r="P81" i="1"/>
  <c r="X81" i="1" s="1"/>
  <c r="O81" i="1"/>
  <c r="W81" i="1" s="1"/>
  <c r="L81" i="1"/>
  <c r="K81" i="1"/>
  <c r="N81" i="1" s="1"/>
  <c r="J81" i="1"/>
  <c r="V81" i="1" s="1"/>
  <c r="I81" i="1"/>
  <c r="U81" i="1" s="1"/>
  <c r="H81" i="1"/>
  <c r="G81" i="1"/>
  <c r="T81" i="1" s="1"/>
  <c r="F81" i="1"/>
  <c r="R80" i="1"/>
  <c r="Q80" i="1"/>
  <c r="P80" i="1"/>
  <c r="O80" i="1"/>
  <c r="J80" i="1"/>
  <c r="R79" i="1"/>
  <c r="Q79" i="1"/>
  <c r="Y79" i="1" s="1"/>
  <c r="P79" i="1"/>
  <c r="X79" i="1" s="1"/>
  <c r="O79" i="1"/>
  <c r="W79" i="1" s="1"/>
  <c r="L79" i="1"/>
  <c r="K79" i="1"/>
  <c r="J79" i="1"/>
  <c r="V79" i="1" s="1"/>
  <c r="I79" i="1"/>
  <c r="H79" i="1"/>
  <c r="G79" i="1"/>
  <c r="T79" i="1" s="1"/>
  <c r="F79" i="1"/>
  <c r="R78" i="1"/>
  <c r="Q78" i="1"/>
  <c r="Y78" i="1" s="1"/>
  <c r="P78" i="1"/>
  <c r="X78" i="1" s="1"/>
  <c r="O78" i="1"/>
  <c r="W78" i="1" s="1"/>
  <c r="L78" i="1"/>
  <c r="K78" i="1"/>
  <c r="J78" i="1"/>
  <c r="V78" i="1" s="1"/>
  <c r="I78" i="1"/>
  <c r="H78" i="1"/>
  <c r="G78" i="1"/>
  <c r="T78" i="1" s="1"/>
  <c r="F78" i="1"/>
  <c r="R77" i="1"/>
  <c r="Q77" i="1"/>
  <c r="P77" i="1"/>
  <c r="O77" i="1"/>
  <c r="J77" i="1"/>
  <c r="Y76" i="1"/>
  <c r="R76" i="1"/>
  <c r="Q76" i="1"/>
  <c r="P76" i="1"/>
  <c r="X76" i="1" s="1"/>
  <c r="O76" i="1"/>
  <c r="W76" i="1" s="1"/>
  <c r="L76" i="1"/>
  <c r="K76" i="1"/>
  <c r="N76" i="1" s="1"/>
  <c r="J76" i="1"/>
  <c r="V76" i="1" s="1"/>
  <c r="I76" i="1"/>
  <c r="H76" i="1"/>
  <c r="G76" i="1"/>
  <c r="F76" i="1"/>
  <c r="R75" i="1"/>
  <c r="Q75" i="1"/>
  <c r="Y75" i="1" s="1"/>
  <c r="P75" i="1"/>
  <c r="X75" i="1" s="1"/>
  <c r="O75" i="1"/>
  <c r="W75" i="1" s="1"/>
  <c r="M75" i="1"/>
  <c r="L75" i="1"/>
  <c r="K75" i="1"/>
  <c r="N75" i="1" s="1"/>
  <c r="J75" i="1"/>
  <c r="V75" i="1" s="1"/>
  <c r="I75" i="1"/>
  <c r="H75" i="1"/>
  <c r="G75" i="1"/>
  <c r="S75" i="1" s="1"/>
  <c r="F75" i="1"/>
  <c r="R73" i="1"/>
  <c r="Q73" i="1"/>
  <c r="Y73" i="1" s="1"/>
  <c r="P73" i="1"/>
  <c r="X73" i="1" s="1"/>
  <c r="O73" i="1"/>
  <c r="W73" i="1" s="1"/>
  <c r="L73" i="1"/>
  <c r="K73" i="1"/>
  <c r="N73" i="1" s="1"/>
  <c r="J73" i="1"/>
  <c r="V73" i="1" s="1"/>
  <c r="I73" i="1"/>
  <c r="U73" i="1" s="1"/>
  <c r="H73" i="1"/>
  <c r="G73" i="1"/>
  <c r="T73" i="1" s="1"/>
  <c r="F73" i="1"/>
  <c r="S73" i="1" s="1"/>
  <c r="R72" i="1"/>
  <c r="Q72" i="1"/>
  <c r="P72" i="1"/>
  <c r="O72" i="1"/>
  <c r="J72" i="1"/>
  <c r="R71" i="1"/>
  <c r="Q71" i="1"/>
  <c r="P71" i="1"/>
  <c r="X71" i="1" s="1"/>
  <c r="O71" i="1"/>
  <c r="L71" i="1"/>
  <c r="K71" i="1"/>
  <c r="N71" i="1" s="1"/>
  <c r="J71" i="1"/>
  <c r="I71" i="1"/>
  <c r="H71" i="1"/>
  <c r="G71" i="1"/>
  <c r="F71" i="1"/>
  <c r="R70" i="1"/>
  <c r="Q70" i="1"/>
  <c r="P70" i="1"/>
  <c r="O70" i="1"/>
  <c r="J70" i="1"/>
  <c r="R69" i="1"/>
  <c r="Q69" i="1"/>
  <c r="P69" i="1"/>
  <c r="O69" i="1"/>
  <c r="J69" i="1"/>
  <c r="R68" i="1"/>
  <c r="Q68" i="1"/>
  <c r="P68" i="1"/>
  <c r="O68" i="1"/>
  <c r="J68" i="1"/>
  <c r="R67" i="1"/>
  <c r="Q67" i="1"/>
  <c r="Y67" i="1" s="1"/>
  <c r="P67" i="1"/>
  <c r="O67" i="1"/>
  <c r="L67" i="1"/>
  <c r="K67" i="1"/>
  <c r="N67" i="1" s="1"/>
  <c r="J67" i="1"/>
  <c r="V67" i="1" s="1"/>
  <c r="I67" i="1"/>
  <c r="H67" i="1"/>
  <c r="G67" i="1"/>
  <c r="S67" i="1" s="1"/>
  <c r="F67" i="1"/>
  <c r="R66" i="1"/>
  <c r="Q66" i="1"/>
  <c r="Y66" i="1" s="1"/>
  <c r="P66" i="1"/>
  <c r="O66" i="1"/>
  <c r="L66" i="1"/>
  <c r="M66" i="1" s="1"/>
  <c r="K66" i="1"/>
  <c r="J66" i="1"/>
  <c r="V66" i="1" s="1"/>
  <c r="I66" i="1"/>
  <c r="H66" i="1"/>
  <c r="G66" i="1"/>
  <c r="S66" i="1" s="1"/>
  <c r="F66" i="1"/>
  <c r="R64" i="1"/>
  <c r="Q64" i="1"/>
  <c r="P64" i="1"/>
  <c r="O64" i="1"/>
  <c r="J64" i="1"/>
  <c r="R63" i="1"/>
  <c r="Q63" i="1"/>
  <c r="P63" i="1"/>
  <c r="O63" i="1"/>
  <c r="J63" i="1"/>
  <c r="R60" i="1"/>
  <c r="R62" i="1" s="1"/>
  <c r="Q60" i="1"/>
  <c r="P60" i="1"/>
  <c r="O60" i="1"/>
  <c r="J60" i="1"/>
  <c r="J62" i="1" s="1"/>
  <c r="R59" i="1"/>
  <c r="Q59" i="1"/>
  <c r="P59" i="1"/>
  <c r="O59" i="1"/>
  <c r="J59" i="1"/>
  <c r="R57" i="1"/>
  <c r="Q57" i="1"/>
  <c r="P57" i="1"/>
  <c r="P61" i="1" s="1"/>
  <c r="O57" i="1"/>
  <c r="O62" i="1" s="1"/>
  <c r="J57" i="1"/>
  <c r="R56" i="1"/>
  <c r="Q56" i="1"/>
  <c r="P56" i="1"/>
  <c r="O56" i="1"/>
  <c r="L56" i="1"/>
  <c r="K56" i="1"/>
  <c r="J56" i="1"/>
  <c r="R55" i="1"/>
  <c r="Q55" i="1"/>
  <c r="P55" i="1"/>
  <c r="O55" i="1"/>
  <c r="J55" i="1"/>
  <c r="R54" i="1"/>
  <c r="Q54" i="1"/>
  <c r="P54" i="1"/>
  <c r="O54" i="1"/>
  <c r="J54" i="1"/>
  <c r="V52" i="1"/>
  <c r="U52" i="1"/>
  <c r="T52" i="1"/>
  <c r="S52" i="1"/>
  <c r="R52" i="1"/>
  <c r="Q52" i="1"/>
  <c r="P52" i="1"/>
  <c r="X52" i="1" s="1"/>
  <c r="O52" i="1"/>
  <c r="W52" i="1" s="1"/>
  <c r="N52" i="1"/>
  <c r="J52" i="1"/>
  <c r="M52" i="1" s="1"/>
  <c r="R51" i="1"/>
  <c r="Q51" i="1"/>
  <c r="Y51" i="1" s="1"/>
  <c r="P51" i="1"/>
  <c r="O51" i="1"/>
  <c r="J51" i="1"/>
  <c r="V51" i="1" s="1"/>
  <c r="R49" i="1"/>
  <c r="Q49" i="1"/>
  <c r="P49" i="1"/>
  <c r="O49" i="1"/>
  <c r="J49" i="1"/>
  <c r="R48" i="1"/>
  <c r="Q48" i="1"/>
  <c r="P48" i="1"/>
  <c r="O48" i="1"/>
  <c r="J48" i="1"/>
  <c r="I48" i="1"/>
  <c r="H48" i="1"/>
  <c r="G48" i="1"/>
  <c r="F48" i="1"/>
  <c r="U47" i="1"/>
  <c r="T47" i="1"/>
  <c r="S47" i="1"/>
  <c r="R47" i="1"/>
  <c r="Q47" i="1"/>
  <c r="Y47" i="1" s="1"/>
  <c r="P47" i="1"/>
  <c r="X47" i="1" s="1"/>
  <c r="O47" i="1"/>
  <c r="W47" i="1" s="1"/>
  <c r="L47" i="1"/>
  <c r="K47" i="1"/>
  <c r="J47" i="1"/>
  <c r="V47" i="1" s="1"/>
  <c r="R46" i="1"/>
  <c r="Q46" i="1"/>
  <c r="P46" i="1"/>
  <c r="O46" i="1"/>
  <c r="L46" i="1"/>
  <c r="K46" i="1"/>
  <c r="J46" i="1"/>
  <c r="R45" i="1"/>
  <c r="Q45" i="1"/>
  <c r="P45" i="1"/>
  <c r="O45" i="1"/>
  <c r="L45" i="1"/>
  <c r="K45" i="1"/>
  <c r="J45" i="1"/>
  <c r="R44" i="1"/>
  <c r="Q44" i="1"/>
  <c r="P44" i="1"/>
  <c r="O44" i="1"/>
  <c r="L44" i="1"/>
  <c r="K44" i="1"/>
  <c r="J44" i="1"/>
  <c r="R43" i="1"/>
  <c r="Q43" i="1"/>
  <c r="P43" i="1"/>
  <c r="O43" i="1"/>
  <c r="L43" i="1"/>
  <c r="K43" i="1"/>
  <c r="J43" i="1"/>
  <c r="U42" i="1"/>
  <c r="T42" i="1"/>
  <c r="S42" i="1"/>
  <c r="R42" i="1"/>
  <c r="Q42" i="1"/>
  <c r="Y42" i="1" s="1"/>
  <c r="P42" i="1"/>
  <c r="X42" i="1" s="1"/>
  <c r="O42" i="1"/>
  <c r="L42" i="1"/>
  <c r="K42" i="1"/>
  <c r="J42" i="1"/>
  <c r="U41" i="1"/>
  <c r="T41" i="1"/>
  <c r="S41" i="1"/>
  <c r="R41" i="1"/>
  <c r="Q41" i="1"/>
  <c r="Y41" i="1" s="1"/>
  <c r="P41" i="1"/>
  <c r="O41" i="1"/>
  <c r="W41" i="1" s="1"/>
  <c r="L41" i="1"/>
  <c r="K41" i="1"/>
  <c r="N41" i="1" s="1"/>
  <c r="J41" i="1"/>
  <c r="V41" i="1" s="1"/>
  <c r="R40" i="1"/>
  <c r="Q40" i="1"/>
  <c r="P40" i="1"/>
  <c r="O40" i="1"/>
  <c r="L40" i="1"/>
  <c r="K40" i="1"/>
  <c r="J40" i="1"/>
  <c r="U39" i="1"/>
  <c r="T39" i="1"/>
  <c r="S39" i="1"/>
  <c r="R39" i="1"/>
  <c r="Q39" i="1"/>
  <c r="Y39" i="1" s="1"/>
  <c r="P39" i="1"/>
  <c r="X39" i="1" s="1"/>
  <c r="O39" i="1"/>
  <c r="W39" i="1" s="1"/>
  <c r="L39" i="1"/>
  <c r="K39" i="1"/>
  <c r="N39" i="1" s="1"/>
  <c r="J39" i="1"/>
  <c r="V39" i="1" s="1"/>
  <c r="R38" i="1"/>
  <c r="Q38" i="1"/>
  <c r="P38" i="1"/>
  <c r="O38" i="1"/>
  <c r="L38" i="1"/>
  <c r="K38" i="1"/>
  <c r="J38" i="1"/>
  <c r="U37" i="1"/>
  <c r="T37" i="1"/>
  <c r="S37" i="1"/>
  <c r="R37" i="1"/>
  <c r="Q37" i="1"/>
  <c r="Y37" i="1" s="1"/>
  <c r="P37" i="1"/>
  <c r="X37" i="1" s="1"/>
  <c r="O37" i="1"/>
  <c r="W37" i="1" s="1"/>
  <c r="L37" i="1"/>
  <c r="K37" i="1"/>
  <c r="N37" i="1" s="1"/>
  <c r="J37" i="1"/>
  <c r="M37" i="1" s="1"/>
  <c r="R36" i="1"/>
  <c r="Q36" i="1"/>
  <c r="P36" i="1"/>
  <c r="O36" i="1"/>
  <c r="L36" i="1"/>
  <c r="K36" i="1"/>
  <c r="J36" i="1"/>
  <c r="Y35" i="1"/>
  <c r="U35" i="1"/>
  <c r="T35" i="1"/>
  <c r="S35" i="1"/>
  <c r="R35" i="1"/>
  <c r="Q35" i="1"/>
  <c r="P35" i="1"/>
  <c r="X35" i="1" s="1"/>
  <c r="O35" i="1"/>
  <c r="W35" i="1" s="1"/>
  <c r="M35" i="1"/>
  <c r="L35" i="1"/>
  <c r="K35" i="1"/>
  <c r="N35" i="1" s="1"/>
  <c r="J35" i="1"/>
  <c r="V35" i="1" s="1"/>
  <c r="R34" i="1"/>
  <c r="Q34" i="1"/>
  <c r="P34" i="1"/>
  <c r="O34" i="1"/>
  <c r="L34" i="1"/>
  <c r="K34" i="1"/>
  <c r="J34" i="1"/>
  <c r="X33" i="1"/>
  <c r="U33" i="1"/>
  <c r="T33" i="1"/>
  <c r="S33" i="1"/>
  <c r="R33" i="1"/>
  <c r="Q33" i="1"/>
  <c r="Y33" i="1" s="1"/>
  <c r="P33" i="1"/>
  <c r="O33" i="1"/>
  <c r="W33" i="1" s="1"/>
  <c r="L33" i="1"/>
  <c r="K33" i="1"/>
  <c r="N33" i="1" s="1"/>
  <c r="J33" i="1"/>
  <c r="V33" i="1" s="1"/>
  <c r="U32" i="1"/>
  <c r="T32" i="1"/>
  <c r="S32" i="1"/>
  <c r="R32" i="1"/>
  <c r="Q32" i="1"/>
  <c r="Y32" i="1" s="1"/>
  <c r="P32" i="1"/>
  <c r="X32" i="1" s="1"/>
  <c r="O32" i="1"/>
  <c r="W32" i="1" s="1"/>
  <c r="L32" i="1"/>
  <c r="K32" i="1"/>
  <c r="J32" i="1"/>
  <c r="V32" i="1" s="1"/>
  <c r="R31" i="1"/>
  <c r="Q31" i="1"/>
  <c r="Y31" i="1" s="1"/>
  <c r="P31" i="1"/>
  <c r="X31" i="1" s="1"/>
  <c r="O31" i="1"/>
  <c r="W31" i="1" s="1"/>
  <c r="J31" i="1"/>
  <c r="R30" i="1"/>
  <c r="Q30" i="1"/>
  <c r="Y30" i="1" s="1"/>
  <c r="P30" i="1"/>
  <c r="O30" i="1"/>
  <c r="L30" i="1"/>
  <c r="K30" i="1"/>
  <c r="J30" i="1"/>
  <c r="I30" i="1"/>
  <c r="U30" i="1" s="1"/>
  <c r="H30" i="1"/>
  <c r="G30" i="1"/>
  <c r="S30" i="1" s="1"/>
  <c r="F30" i="1"/>
  <c r="R29" i="1"/>
  <c r="Q29" i="1"/>
  <c r="P29" i="1"/>
  <c r="O29" i="1"/>
  <c r="J29" i="1"/>
  <c r="R28" i="1"/>
  <c r="Q28" i="1"/>
  <c r="P28" i="1"/>
  <c r="O28" i="1"/>
  <c r="J28" i="1"/>
  <c r="R27" i="1"/>
  <c r="Q27" i="1"/>
  <c r="P27" i="1"/>
  <c r="X27" i="1" s="1"/>
  <c r="O27" i="1"/>
  <c r="W27" i="1" s="1"/>
  <c r="N27" i="1"/>
  <c r="L27" i="1"/>
  <c r="K27" i="1"/>
  <c r="J27" i="1"/>
  <c r="M27" i="1" s="1"/>
  <c r="I27" i="1"/>
  <c r="U27" i="1" s="1"/>
  <c r="H27" i="1"/>
  <c r="G27" i="1"/>
  <c r="F27" i="1"/>
  <c r="S27" i="1" s="1"/>
  <c r="R26" i="1"/>
  <c r="Q26" i="1"/>
  <c r="P26" i="1"/>
  <c r="X26" i="1" s="1"/>
  <c r="O26" i="1"/>
  <c r="W26" i="1" s="1"/>
  <c r="N26" i="1"/>
  <c r="L26" i="1"/>
  <c r="K26" i="1"/>
  <c r="J26" i="1"/>
  <c r="M26" i="1" s="1"/>
  <c r="I26" i="1"/>
  <c r="H26" i="1"/>
  <c r="G26" i="1"/>
  <c r="F26" i="1"/>
  <c r="S26" i="1" s="1"/>
  <c r="R25" i="1"/>
  <c r="Q25" i="1"/>
  <c r="P25" i="1"/>
  <c r="O25" i="1"/>
  <c r="L25" i="1"/>
  <c r="K25" i="1"/>
  <c r="J25" i="1"/>
  <c r="R24" i="1"/>
  <c r="Q24" i="1"/>
  <c r="P24" i="1"/>
  <c r="O24" i="1"/>
  <c r="J24" i="1"/>
  <c r="V23" i="1"/>
  <c r="R23" i="1"/>
  <c r="Q23" i="1"/>
  <c r="Y23" i="1" s="1"/>
  <c r="P23" i="1"/>
  <c r="X23" i="1" s="1"/>
  <c r="O23" i="1"/>
  <c r="W23" i="1" s="1"/>
  <c r="N23" i="1"/>
  <c r="M23" i="1"/>
  <c r="L23" i="1"/>
  <c r="K23" i="1"/>
  <c r="J23" i="1"/>
  <c r="I23" i="1"/>
  <c r="U23" i="1" s="1"/>
  <c r="H23" i="1"/>
  <c r="G23" i="1"/>
  <c r="T23" i="1" s="1"/>
  <c r="F23" i="1"/>
  <c r="S23" i="1" s="1"/>
  <c r="R22" i="1"/>
  <c r="Q22" i="1"/>
  <c r="Y22" i="1" s="1"/>
  <c r="P22" i="1"/>
  <c r="O22" i="1"/>
  <c r="W22" i="1" s="1"/>
  <c r="J22" i="1"/>
  <c r="V22" i="1" s="1"/>
  <c r="R21" i="1"/>
  <c r="Q21" i="1"/>
  <c r="Y21" i="1" s="1"/>
  <c r="P21" i="1"/>
  <c r="O21" i="1"/>
  <c r="W21" i="1" s="1"/>
  <c r="L21" i="1"/>
  <c r="M21" i="1" s="1"/>
  <c r="K21" i="1"/>
  <c r="K22" i="1" s="1"/>
  <c r="J21" i="1"/>
  <c r="I21" i="1"/>
  <c r="H21" i="1"/>
  <c r="G21" i="1"/>
  <c r="G22" i="1" s="1"/>
  <c r="F21" i="1"/>
  <c r="R20" i="1"/>
  <c r="Q20" i="1"/>
  <c r="Y20" i="1" s="1"/>
  <c r="P20" i="1"/>
  <c r="O20" i="1"/>
  <c r="W20" i="1" s="1"/>
  <c r="N20" i="1"/>
  <c r="M20" i="1"/>
  <c r="L20" i="1"/>
  <c r="K20" i="1"/>
  <c r="J20" i="1"/>
  <c r="V20" i="1" s="1"/>
  <c r="I20" i="1"/>
  <c r="T20" i="1" s="1"/>
  <c r="H20" i="1"/>
  <c r="G20" i="1"/>
  <c r="F20" i="1"/>
  <c r="S20" i="1" s="1"/>
  <c r="Y19" i="1"/>
  <c r="R19" i="1"/>
  <c r="Q19" i="1"/>
  <c r="P19" i="1"/>
  <c r="O19" i="1"/>
  <c r="L19" i="1"/>
  <c r="N19" i="1" s="1"/>
  <c r="K19" i="1"/>
  <c r="J19" i="1"/>
  <c r="V19" i="1" s="1"/>
  <c r="I19" i="1"/>
  <c r="T19" i="1" s="1"/>
  <c r="H19" i="1"/>
  <c r="G19" i="1"/>
  <c r="F19" i="1"/>
  <c r="S19" i="1" s="1"/>
  <c r="R18" i="1"/>
  <c r="Q18" i="1"/>
  <c r="P18" i="1"/>
  <c r="O18" i="1"/>
  <c r="W18" i="1" s="1"/>
  <c r="N18" i="1"/>
  <c r="L18" i="1"/>
  <c r="K18" i="1"/>
  <c r="J18" i="1"/>
  <c r="M18" i="1" s="1"/>
  <c r="I18" i="1"/>
  <c r="H18" i="1"/>
  <c r="G18" i="1"/>
  <c r="F18" i="1"/>
  <c r="S18" i="1" s="1"/>
  <c r="R17" i="1"/>
  <c r="Q17" i="1"/>
  <c r="P17" i="1"/>
  <c r="O17" i="1"/>
  <c r="W17" i="1" s="1"/>
  <c r="N17" i="1"/>
  <c r="L17" i="1"/>
  <c r="K17" i="1"/>
  <c r="J17" i="1"/>
  <c r="M17" i="1" s="1"/>
  <c r="I17" i="1"/>
  <c r="H17" i="1"/>
  <c r="G17" i="1"/>
  <c r="T17" i="1" s="1"/>
  <c r="F17" i="1"/>
  <c r="S17" i="1" s="1"/>
  <c r="R16" i="1"/>
  <c r="Q16" i="1"/>
  <c r="Y16" i="1" s="1"/>
  <c r="P16" i="1"/>
  <c r="X16" i="1" s="1"/>
  <c r="O16" i="1"/>
  <c r="L16" i="1"/>
  <c r="K16" i="1"/>
  <c r="N16" i="1" s="1"/>
  <c r="J16" i="1"/>
  <c r="V16" i="1" s="1"/>
  <c r="I16" i="1"/>
  <c r="U16" i="1" s="1"/>
  <c r="H16" i="1"/>
  <c r="G16" i="1"/>
  <c r="T16" i="1" s="1"/>
  <c r="F16" i="1"/>
  <c r="R15" i="1"/>
  <c r="Q15" i="1"/>
  <c r="Y15" i="1" s="1"/>
  <c r="P15" i="1"/>
  <c r="X15" i="1" s="1"/>
  <c r="O15" i="1"/>
  <c r="L15" i="1"/>
  <c r="K15" i="1"/>
  <c r="N15" i="1" s="1"/>
  <c r="J15" i="1"/>
  <c r="V15" i="1" s="1"/>
  <c r="I15" i="1"/>
  <c r="U15" i="1" s="1"/>
  <c r="H15" i="1"/>
  <c r="G15" i="1"/>
  <c r="T15" i="1" s="1"/>
  <c r="F15" i="1"/>
  <c r="R14" i="1"/>
  <c r="Q14" i="1"/>
  <c r="Y14" i="1" s="1"/>
  <c r="P14" i="1"/>
  <c r="X14" i="1" s="1"/>
  <c r="O14" i="1"/>
  <c r="L14" i="1"/>
  <c r="K14" i="1"/>
  <c r="N14" i="1" s="1"/>
  <c r="J14" i="1"/>
  <c r="V14" i="1" s="1"/>
  <c r="I14" i="1"/>
  <c r="U14" i="1" s="1"/>
  <c r="H14" i="1"/>
  <c r="G14" i="1"/>
  <c r="T14" i="1" s="1"/>
  <c r="F14" i="1"/>
  <c r="R13" i="1"/>
  <c r="Q13" i="1"/>
  <c r="Y13" i="1" s="1"/>
  <c r="P13" i="1"/>
  <c r="X13" i="1" s="1"/>
  <c r="O13" i="1"/>
  <c r="L13" i="1"/>
  <c r="K13" i="1"/>
  <c r="N13" i="1" s="1"/>
  <c r="J13" i="1"/>
  <c r="V13" i="1" s="1"/>
  <c r="I13" i="1"/>
  <c r="H13" i="1"/>
  <c r="G13" i="1"/>
  <c r="T13" i="1" s="1"/>
  <c r="F13" i="1"/>
  <c r="R12" i="1"/>
  <c r="Q12" i="1"/>
  <c r="Y12" i="1" s="1"/>
  <c r="P12" i="1"/>
  <c r="X12" i="1" s="1"/>
  <c r="O12" i="1"/>
  <c r="L12" i="1"/>
  <c r="K12" i="1"/>
  <c r="N12" i="1" s="1"/>
  <c r="J12" i="1"/>
  <c r="V12" i="1" s="1"/>
  <c r="I12" i="1"/>
  <c r="U12" i="1" s="1"/>
  <c r="H12" i="1"/>
  <c r="G12" i="1"/>
  <c r="T12" i="1" s="1"/>
  <c r="F12" i="1"/>
  <c r="R11" i="1"/>
  <c r="Q11" i="1"/>
  <c r="Y11" i="1" s="1"/>
  <c r="P11" i="1"/>
  <c r="X11" i="1" s="1"/>
  <c r="O11" i="1"/>
  <c r="J11" i="1"/>
  <c r="V11" i="1" s="1"/>
  <c r="R10" i="1"/>
  <c r="R58" i="1" s="1"/>
  <c r="Q10" i="1"/>
  <c r="Q58" i="1" s="1"/>
  <c r="P10" i="1"/>
  <c r="O10" i="1"/>
  <c r="O58" i="1" s="1"/>
  <c r="L10" i="1"/>
  <c r="L31" i="1" s="1"/>
  <c r="K10" i="1"/>
  <c r="J10" i="1"/>
  <c r="J58" i="1" s="1"/>
  <c r="I10" i="1"/>
  <c r="I31" i="1" s="1"/>
  <c r="U31" i="1" s="1"/>
  <c r="H10" i="1"/>
  <c r="H11" i="1" s="1"/>
  <c r="G10" i="1"/>
  <c r="F10" i="1"/>
  <c r="F31" i="1" s="1"/>
  <c r="J9" i="1"/>
  <c r="H9" i="1" s="1"/>
  <c r="K8" i="1"/>
  <c r="J6" i="1"/>
  <c r="J5" i="1"/>
  <c r="L4" i="1"/>
  <c r="J4" i="1"/>
  <c r="V21" i="1" l="1"/>
  <c r="M10" i="1"/>
  <c r="V18" i="1"/>
  <c r="M19" i="1"/>
  <c r="V42" i="1"/>
  <c r="Q62" i="1"/>
  <c r="T66" i="1"/>
  <c r="S76" i="1"/>
  <c r="U78" i="1"/>
  <c r="U79" i="1"/>
  <c r="M12" i="1"/>
  <c r="U13" i="1"/>
  <c r="M13" i="1"/>
  <c r="M14" i="1"/>
  <c r="M15" i="1"/>
  <c r="M16" i="1"/>
  <c r="V17" i="1"/>
  <c r="T21" i="1"/>
  <c r="T30" i="1"/>
  <c r="J61" i="1"/>
  <c r="R61" i="1"/>
  <c r="W66" i="1"/>
  <c r="U66" i="1"/>
  <c r="T67" i="1"/>
  <c r="M67" i="1"/>
  <c r="T75" i="1"/>
  <c r="S81" i="1"/>
  <c r="O9" i="1"/>
  <c r="P9" i="1" s="1"/>
  <c r="Q9" i="1" s="1"/>
  <c r="R9" i="1" s="1"/>
  <c r="I9" i="1"/>
  <c r="G9" i="1" s="1"/>
  <c r="G31" i="1"/>
  <c r="K31" i="1"/>
  <c r="X10" i="1"/>
  <c r="W11" i="1"/>
  <c r="W12" i="1"/>
  <c r="W13" i="1"/>
  <c r="W14" i="1"/>
  <c r="W15" i="1"/>
  <c r="W16" i="1"/>
  <c r="U17" i="1"/>
  <c r="X17" i="1"/>
  <c r="Y17" i="1"/>
  <c r="U18" i="1"/>
  <c r="Y18" i="1"/>
  <c r="W19" i="1"/>
  <c r="S21" i="1"/>
  <c r="N21" i="1"/>
  <c r="Y26" i="1"/>
  <c r="V30" i="1"/>
  <c r="X30" i="1"/>
  <c r="V31" i="1"/>
  <c r="X41" i="1"/>
  <c r="X51" i="1"/>
  <c r="Y52" i="1"/>
  <c r="O61" i="1"/>
  <c r="P58" i="1"/>
  <c r="P62" i="1"/>
  <c r="N66" i="1"/>
  <c r="W67" i="1"/>
  <c r="U67" i="1"/>
  <c r="S71" i="1"/>
  <c r="W71" i="1"/>
  <c r="M73" i="1"/>
  <c r="T76" i="1"/>
  <c r="M76" i="1"/>
  <c r="S78" i="1"/>
  <c r="S79" i="1"/>
  <c r="N79" i="1"/>
  <c r="U85" i="1"/>
  <c r="S9" i="1"/>
  <c r="T9" i="1" s="1"/>
  <c r="U9" i="1" s="1"/>
  <c r="V9" i="1" s="1"/>
  <c r="W9" i="1" s="1"/>
  <c r="X9" i="1" s="1"/>
  <c r="Y9" i="1" s="1"/>
  <c r="F9" i="1"/>
  <c r="V26" i="1"/>
  <c r="T31" i="1"/>
  <c r="S31" i="1"/>
  <c r="N10" i="1"/>
  <c r="V10" i="1"/>
  <c r="F11" i="1"/>
  <c r="S16" i="1"/>
  <c r="F22" i="1"/>
  <c r="S22" i="1" s="1"/>
  <c r="V27" i="1"/>
  <c r="N30" i="1"/>
  <c r="H31" i="1"/>
  <c r="V37" i="1"/>
  <c r="W42" i="1"/>
  <c r="W51" i="1"/>
  <c r="X66" i="1"/>
  <c r="Y71" i="1"/>
  <c r="U75" i="1"/>
  <c r="S82" i="1"/>
  <c r="V85" i="1"/>
  <c r="U10" i="1"/>
  <c r="I11" i="1"/>
  <c r="N31" i="1"/>
  <c r="S10" i="1"/>
  <c r="W10" i="1"/>
  <c r="G11" i="1"/>
  <c r="K11" i="1"/>
  <c r="S12" i="1"/>
  <c r="S13" i="1"/>
  <c r="S14" i="1"/>
  <c r="S15" i="1"/>
  <c r="T18" i="1"/>
  <c r="U19" i="1"/>
  <c r="U20" i="1"/>
  <c r="U21" i="1"/>
  <c r="I22" i="1"/>
  <c r="U22" i="1" s="1"/>
  <c r="U71" i="1"/>
  <c r="Y10" i="1"/>
  <c r="V84" i="1"/>
  <c r="V100" i="1"/>
  <c r="M100" i="1"/>
  <c r="T10" i="1"/>
  <c r="L11" i="1"/>
  <c r="X18" i="1"/>
  <c r="X19" i="1"/>
  <c r="X20" i="1"/>
  <c r="H22" i="1"/>
  <c r="H51" i="1" s="1"/>
  <c r="L22" i="1"/>
  <c r="M22" i="1" s="1"/>
  <c r="X21" i="1"/>
  <c r="X22" i="1"/>
  <c r="U26" i="1"/>
  <c r="Y27" i="1"/>
  <c r="W30" i="1"/>
  <c r="N32" i="1"/>
  <c r="N42" i="1"/>
  <c r="Q61" i="1"/>
  <c r="X67" i="1"/>
  <c r="M71" i="1"/>
  <c r="V71" i="1"/>
  <c r="U76" i="1"/>
  <c r="N78" i="1"/>
  <c r="U84" i="1"/>
  <c r="V99" i="1"/>
  <c r="M30" i="1"/>
  <c r="M31" i="1"/>
  <c r="M32" i="1"/>
  <c r="M33" i="1"/>
  <c r="M41" i="1"/>
  <c r="M42" i="1"/>
  <c r="M78" i="1"/>
  <c r="M79" i="1"/>
  <c r="T26" i="1"/>
  <c r="T27" i="1"/>
  <c r="M39" i="1"/>
  <c r="T71" i="1"/>
  <c r="M81" i="1"/>
  <c r="M82" i="1"/>
  <c r="T84" i="1"/>
  <c r="T85" i="1"/>
  <c r="M101" i="1"/>
  <c r="M102" i="1"/>
  <c r="L51" i="1" l="1"/>
  <c r="M51" i="1" s="1"/>
  <c r="M11" i="1"/>
  <c r="T22" i="1"/>
  <c r="K51" i="1"/>
  <c r="N51" i="1" s="1"/>
  <c r="N11" i="1"/>
  <c r="F51" i="1"/>
  <c r="S11" i="1"/>
  <c r="N22" i="1"/>
  <c r="G51" i="1"/>
  <c r="T11" i="1"/>
  <c r="I51" i="1"/>
  <c r="U51" i="1" s="1"/>
  <c r="U11" i="1"/>
  <c r="T51" i="1" l="1"/>
  <c r="S51" i="1"/>
</calcChain>
</file>

<file path=xl/comments1.xml><?xml version="1.0" encoding="utf-8"?>
<comments xmlns="http://schemas.openxmlformats.org/spreadsheetml/2006/main">
  <authors>
    <author>ag</author>
  </authors>
  <commentList>
    <comment ref="U67" authorId="0" shapeId="0">
      <text>
        <r>
          <rPr>
            <b/>
            <sz val="9"/>
            <color indexed="81"/>
            <rFont val="Tahoma"/>
            <family val="2"/>
            <charset val="238"/>
          </rPr>
          <t>ag:</t>
        </r>
        <r>
          <rPr>
            <sz val="9"/>
            <color indexed="81"/>
            <rFont val="Tahoma"/>
            <family val="2"/>
            <charset val="238"/>
          </rPr>
          <t xml:space="preserve">
UWAGA: Analiza dynamiki wykonania liczona jest ze wszystkich rozdziałow bez wydzielenia innych rodzajow zadan. Może wiec odbiegac od STANU FAKTYCZNEGO.
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  <charset val="238"/>
          </rPr>
          <t>ag:</t>
        </r>
        <r>
          <rPr>
            <sz val="9"/>
            <color indexed="81"/>
            <rFont val="Tahoma"/>
            <family val="2"/>
            <charset val="238"/>
          </rPr>
          <t xml:space="preserve">
UWAGA: Analiza dynamiki wykonania liczona jest ze wszystkich rozdziałow bez wydzielenia innych rodzajow zadan. Może wiec odbiegac od STANU FAKTYCZNEGO.
</t>
        </r>
      </text>
    </comment>
    <comment ref="W67" authorId="0" shapeId="0">
      <text>
        <r>
          <rPr>
            <b/>
            <sz val="9"/>
            <color indexed="81"/>
            <rFont val="Tahoma"/>
            <family val="2"/>
            <charset val="238"/>
          </rPr>
          <t>ag:</t>
        </r>
        <r>
          <rPr>
            <sz val="9"/>
            <color indexed="81"/>
            <rFont val="Tahoma"/>
            <family val="2"/>
            <charset val="238"/>
          </rPr>
          <t xml:space="preserve">
UWAGA: Analiza dynamiki wykonania liczona jest ze wszystkich rozdziałow bez wydzielenia innych rodzajow zadan. Może wiec odbiegac od STANU FAKTYCZNEGO.
</t>
        </r>
      </text>
    </comment>
    <comment ref="X67" authorId="0" shapeId="0">
      <text>
        <r>
          <rPr>
            <b/>
            <sz val="9"/>
            <color indexed="81"/>
            <rFont val="Tahoma"/>
            <family val="2"/>
            <charset val="238"/>
          </rPr>
          <t>ag:</t>
        </r>
        <r>
          <rPr>
            <sz val="9"/>
            <color indexed="81"/>
            <rFont val="Tahoma"/>
            <family val="2"/>
            <charset val="238"/>
          </rPr>
          <t xml:space="preserve">
UWAGA: Analiza dynamiki wykonania liczona jest ze wszystkich rozdziałow bez wydzielenia innych rodzajow zadan. Może wiec odbiegac od STANU FAKTYCZNEGO.
</t>
        </r>
      </text>
    </comment>
    <comment ref="Y67" authorId="0" shapeId="0">
      <text>
        <r>
          <rPr>
            <b/>
            <sz val="9"/>
            <color indexed="81"/>
            <rFont val="Tahoma"/>
            <family val="2"/>
            <charset val="238"/>
          </rPr>
          <t>ag:</t>
        </r>
        <r>
          <rPr>
            <sz val="9"/>
            <color indexed="81"/>
            <rFont val="Tahoma"/>
            <family val="2"/>
            <charset val="238"/>
          </rPr>
          <t xml:space="preserve">
UWAGA: Analiza dynamiki wykonania liczona jest ze wszystkich rozdziałow bez wydzielenia innych rodzajow zadan. Może wiec odbiegac od STANU FAKTYCZNEGO.
</t>
        </r>
      </text>
    </comment>
  </commentList>
</comments>
</file>

<file path=xl/sharedStrings.xml><?xml version="1.0" encoding="utf-8"?>
<sst xmlns="http://schemas.openxmlformats.org/spreadsheetml/2006/main" count="1179" uniqueCount="212">
  <si>
    <t>Zestawienie wygenerowane na podstawie danych wprowadzonych do systemu BESTI@</t>
  </si>
  <si>
    <t>© CWA "Pro publico" Sp. z o.o.</t>
  </si>
  <si>
    <t>Porównanie WPF rok prognozy N 
z wybranych okresem sprawozdawczym (np. za I półrocze)
(na tle danych ze sprawozdań Rb za lata od N-3 do N-1)</t>
  </si>
  <si>
    <t>Nr Uchwały WPF:</t>
  </si>
  <si>
    <t>z dn.:</t>
  </si>
  <si>
    <t>Nazwa JST:</t>
  </si>
  <si>
    <t>WPF za lata:</t>
  </si>
  <si>
    <t>Dane ze sprawozdań Rb</t>
  </si>
  <si>
    <t>IV kw wyk.</t>
  </si>
  <si>
    <t>III kw. plan</t>
  </si>
  <si>
    <t>WPF (N)</t>
  </si>
  <si>
    <t>WPF [N+1] ... [N+4]</t>
  </si>
  <si>
    <t>dynamika 
(rok poprz.=100)</t>
  </si>
  <si>
    <t>Lp.</t>
  </si>
  <si>
    <t>PozObl</t>
  </si>
  <si>
    <t>X</t>
  </si>
  <si>
    <t>Wyszczególnienie</t>
  </si>
  <si>
    <t>Plan</t>
  </si>
  <si>
    <t>Wykonanie</t>
  </si>
  <si>
    <t>% wyk do WPF</t>
  </si>
  <si>
    <t>% wyk wg Rb</t>
  </si>
  <si>
    <t>x</t>
  </si>
  <si>
    <t>Dochody ogółem</t>
  </si>
  <si>
    <t>1.1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</si>
  <si>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</si>
  <si>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</si>
  <si>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</si>
  <si>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</si>
  <si>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</si>
  <si>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</si>
  <si>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</si>
  <si>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</si>
  <si>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</si>
  <si>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</si>
  <si>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</si>
  <si>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</si>
  <si>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</si>
  <si>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>1.2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</si>
  <si>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</si>
  <si>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</si>
  <si>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</si>
  <si>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</si>
  <si>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</si>
  <si>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>Wydatki ogółem</t>
  </si>
  <si>
    <t>2.1</t>
  </si>
  <si>
    <t xml:space="preserve"> Wydatki bieżące, w tym:</t>
  </si>
  <si>
    <t>2.1.1</t>
  </si>
  <si>
    <t xml:space="preserve">  z tytułu poręczeń i gwarancji</t>
  </si>
  <si>
    <t>2.1.1.1</t>
  </si>
  <si>
    <t xml:space="preserve">   w tym: gwarancje i poręczenia podlegające wyłączeniu z limitu spłaty zobowiązań, o którym mowa w art. 243 ustawy</t>
  </si>
  <si>
    <t>2.1.2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</si>
  <si>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</si>
  <si>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</si>
  <si>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 xml:space="preserve">  wydatki na obsługę długu, w tym:</t>
  </si>
  <si>
    <t>2.1.3.1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</si>
  <si>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</si>
  <si>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</si>
  <si>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</si>
  <si>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</si>
  <si>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</si>
  <si>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2.2</t>
  </si>
  <si>
    <t xml:space="preserve"> Wydatki majątkowe</t>
  </si>
  <si>
    <t>Wynik budżetu</t>
  </si>
  <si>
    <t>Przychody budżetu</t>
  </si>
  <si>
    <t>4.1</t>
  </si>
  <si>
    <t xml:space="preserve"> Nadwyżka budżetowa z lat ubiegłych</t>
  </si>
  <si>
    <t>4.1.1</t>
  </si>
  <si>
    <t xml:space="preserve">  w tym na pokrycie deficytu budżetu</t>
  </si>
  <si>
    <t>4.2</t>
  </si>
  <si>
    <t xml:space="preserve"> Wolne środki, o których mowa w art. 217 ust.2 pkt 6 ustawy</t>
  </si>
  <si>
    <t>4.2.1</t>
  </si>
  <si>
    <t xml:space="preserve">   w tym na pokrycie deficytu budżetu</t>
  </si>
  <si>
    <t>4.3</t>
  </si>
  <si>
    <t xml:space="preserve">  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</si>
  <si>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</si>
  <si>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</si>
  <si>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</si>
  <si>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</si>
  <si>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</si>
  <si>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</si>
  <si>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 xml:space="preserve"> Spłaty rat kapitałowych kredytów i pożyczek oraz wykup papierów wartościowych</t>
  </si>
  <si>
    <t>5.1.1</t>
  </si>
  <si>
    <t xml:space="preserve">  w tym łączna kwota przypadających na dany rok kwot ustawowych wyłączeń z limitu spłaty zobowiązań, o którym mowa w art. 243 ustawy, z tego:</t>
  </si>
  <si>
    <t>5.1.1.1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</si>
  <si>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</si>
  <si>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</si>
  <si>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</si>
  <si>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</si>
  <si>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</si>
  <si>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</si>
  <si>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</si>
  <si>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</si>
  <si>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</si>
  <si>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</si>
  <si>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8.1</t>
  </si>
  <si>
    <t xml:space="preserve"> Różnica między dochodami bieżącymi a  wydatkami bieżącymi</t>
  </si>
  <si>
    <t>8.2</t>
  </si>
  <si>
    <t xml:space="preserve"> Różnica między dochodami bieżącymi, skorygowanymi o środki a wydatkami bieżącymi, pomniejszonymi  o wydatki</t>
  </si>
  <si>
    <t>Wskaźnik spłaty zobowiązań</t>
  </si>
  <si>
    <t>9.1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</si>
  <si>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</si>
  <si>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</si>
  <si>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</si>
  <si>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</si>
  <si>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 xml:space="preserve"> Kwota zobowiązań związku współtworzonego przez jednostkę samorządu terytorialnego przypadających do spłaty w danym roku budżetowym, podlegająca doliczeniu zgodnie z art. 244 ustawy</t>
  </si>
  <si>
    <t>9.4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</si>
  <si>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</si>
  <si>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</si>
  <si>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 xml:space="preserve"> Wskaźnik dochodów bieżących powiększonych o dochody ze sprzedaży majątku oraz pomniejszonych o wydatki bieżące, do dochodów budżetu, ustalony dla danego roku (wskaźnik jednoroczny)</t>
  </si>
  <si>
    <t>9.6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</si>
  <si>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</si>
  <si>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</si>
  <si>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</si>
  <si>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</si>
  <si>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</si>
  <si>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</si>
  <si>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</si>
  <si>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</si>
  <si>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</si>
  <si>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 xml:space="preserve"> Spłaty kredytów, pożyczek i wykup papierów wartościowych</t>
  </si>
  <si>
    <t>Informacje uzupełniające o wybranych rodzajach wydatków budżetowych</t>
  </si>
  <si>
    <t>11.1</t>
  </si>
  <si>
    <t xml:space="preserve"> Wydatki bieżące na wynagrodzenia i składki od nich naliczane</t>
  </si>
  <si>
    <t>11.2</t>
  </si>
  <si>
    <t xml:space="preserve"> Wydatki związane z funkcjonowaniem organów jednostki samorządu terytorialnego</t>
  </si>
  <si>
    <t>11.3</t>
  </si>
  <si>
    <t xml:space="preserve"> Wydatki objęte limitem, o którym mowa w art. 226 ust. 3 pkt 4 ustawy</t>
  </si>
  <si>
    <t>11.3.1</t>
  </si>
  <si>
    <t xml:space="preserve">   bieżące</t>
  </si>
  <si>
    <t>11.3.2</t>
  </si>
  <si>
    <t xml:space="preserve">   majątkowe</t>
  </si>
  <si>
    <t>11.4</t>
  </si>
  <si>
    <t xml:space="preserve"> Wydatki inwestycyjne kontynuowane </t>
  </si>
  <si>
    <t>11.5</t>
  </si>
  <si>
    <t xml:space="preserve"> Nowe wydatki inwestycyjne</t>
  </si>
  <si>
    <t>11.6</t>
  </si>
  <si>
    <t xml:space="preserve"> Wydatki majątkowe w formie dotacji </t>
  </si>
  <si>
    <t>Finansowanie programów, projektów lub zadań realizowanych z udziałem środków, o których mowa w art. 5 ust. 1 pkt 2 i 3 ustawy</t>
  </si>
  <si>
    <t>12.1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</si>
  <si>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</si>
  <si>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</si>
  <si>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</si>
  <si>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</si>
  <si>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</si>
  <si>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>12.2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</si>
  <si>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</si>
  <si>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</si>
  <si>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</si>
  <si>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</si>
  <si>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</si>
  <si>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>12.3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</si>
  <si>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</si>
  <si>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</si>
  <si>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</si>
  <si>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</si>
  <si>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</si>
  <si>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>12.4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</si>
  <si>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</si>
  <si>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</si>
  <si>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</si>
  <si>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</si>
  <si>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</si>
  <si>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</si>
  <si>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</si>
  <si>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</si>
  <si>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</si>
  <si>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</si>
  <si>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</si>
  <si>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</si>
  <si>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</si>
  <si>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</si>
  <si>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</si>
  <si>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</si>
  <si>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</si>
  <si>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</si>
  <si>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</si>
  <si>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</si>
  <si>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 xml:space="preserve"> Kwota zobowiązań wynikających z przejęcia przez jednostkę samorządu terytorialnego zobowiązań po likwidowanych i przekształcanych samodzielnych zakładach opieki zdrowotnej</t>
  </si>
  <si>
    <t>13.2</t>
  </si>
  <si>
    <t xml:space="preserve"> Dochody budżetowe z tytułu dotacji celowej z budżetu państwa, o której mowa w art. 196 ustawy z  dnia 15 kwietnia 2011 r.  o działalności leczniczej (Dz.U. Nr 112, poz. 654, z późn. zm.)</t>
  </si>
  <si>
    <t>13.3</t>
  </si>
  <si>
    <t xml:space="preserve"> Wysokość zobowiązań podlegających umorzeniu, o którym mowa w art. 190 ustawy o działalności leczniczej</t>
  </si>
  <si>
    <t>13.4</t>
  </si>
  <si>
    <t xml:space="preserve"> Wydatki na spłatę przejętych zobowiązań samodzielnego publicznego zakładu opieki zdrowotnej przekształconego na zasadach określonych w przepisach  o działalności leczniczej</t>
  </si>
  <si>
    <t>13.5</t>
  </si>
  <si>
    <t xml:space="preserve"> Wydatki na spłatę przejętych zobowiązań samodzielnego publicznego zakładu opieki zdrowotnej likwidowanego na zasadach określonych w przepisach  o działalności leczniczej</t>
  </si>
  <si>
    <t>13.6</t>
  </si>
  <si>
    <t xml:space="preserve"> Wydatki na spłatę zobowiązań samodzielnego publicznego zakładu opieki zdrowotnej przejętych do końca 2011 r. na podstawie przepisów o zakładach opieki zdrowotnej</t>
  </si>
  <si>
    <t>13.7</t>
  </si>
  <si>
    <t xml:space="preserve"> Wydatki bieżące na pokrycie ujemnego wyniku finansowego samodzielnego publicznego zakładu opieki zdrowotnej</t>
  </si>
  <si>
    <t>Dane uzupełniające o długu i jego spłacie</t>
  </si>
  <si>
    <t>14.1</t>
  </si>
  <si>
    <t xml:space="preserve"> Spłaty rat kapitałowych oraz wykup papierów wartościowych, o których mowa w pkt. 5.1., wynikające wyłącznie z tytułu zobowiązań już zaciągniętych</t>
  </si>
  <si>
    <t>14.2</t>
  </si>
  <si>
    <t xml:space="preserve"> Kwota długu, którego planowana spłata dokona się z wydatków budżetu</t>
  </si>
  <si>
    <t>14.3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</si>
  <si>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</si>
  <si>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</si>
  <si>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</si>
  <si>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</si>
  <si>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 xml:space="preserve">  związane z umowami zaliczanymi do tytułów dłużnych wliczanych do państwowego długu publicznego</t>
  </si>
  <si>
    <t>14.3.3</t>
  </si>
  <si>
    <t xml:space="preserve">  wypłaty z tytułu wymagalnych poręczeń i gwarancji</t>
  </si>
  <si>
    <t>14.4</t>
  </si>
  <si>
    <t xml:space="preserve"> Wynik operacji niekasowych wpływających na kwotę długu ( m.in. umorzenia, różnice kursowe)</t>
  </si>
  <si>
    <t>Dane dotyczące emitowanych obligacji przychodowych</t>
  </si>
  <si>
    <t>15.1</t>
  </si>
  <si>
    <t xml:space="preserve"> Środki z przedsięwzięcia gromadzone na rachunku bankowym,  w tym:</t>
  </si>
  <si>
    <t>15.1.1</t>
  </si>
  <si>
    <t xml:space="preserve">  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</si>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</sst>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%"/>
    <numFmt numFmtId="166" formatCode="0.00%;[Red]\-0.00%"/>
  </numFmts>
  <fonts count="22">
    <font>
      <sz val="11"/>
      <color theme="1"/>
      <name val="Czcionka tekstu podstawowego"/>
      <family val="2"/>
      <charset val="238"/>
    </font>
    <font>
      <b/>
      <i/>
      <sz val="10"/>
      <color rgb="FFFF0000"/>
      <name val="Czcionka tekstu podstawowego"/>
      <charset val="238"/>
    </font>
    <font>
      <sz val="9"/>
      <color theme="1"/>
      <name val="Czcionka tekstu podstawowego"/>
      <family val="2"/>
      <charset val="238"/>
    </font>
    <font>
      <i/>
      <sz val="8"/>
      <color rgb="FF0070C0"/>
      <name val="Czcionka tekstu podstawowego"/>
      <charset val="238"/>
    </font>
    <font>
      <i/>
      <sz val="8"/>
      <color rgb="FFFF0000"/>
      <name val="Czcionka tekstu podstawowego"/>
      <charset val="238"/>
    </font>
    <font>
      <b/>
      <i/>
      <sz val="9"/>
      <color rgb="FF0070C0"/>
      <name val="Czcionka tekstu podstawowego"/>
      <charset val="238"/>
    </font>
    <font>
      <b/>
      <sz val="10"/>
      <color indexed="8"/>
      <name val="Czcionka tekstu podstawowego"/>
      <charset val="238"/>
    </font>
    <font>
      <b/>
      <i/>
      <sz val="12"/>
      <color rgb="FFFF0000"/>
      <name val="Czcionka tekstu podstawowego"/>
      <charset val="238"/>
    </font>
    <font>
      <b/>
      <i/>
      <sz val="12"/>
      <color rgb="FF0070C0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1" fillId="0" borderId="0" xfId="0" applyNumberFormat="1" applyFont="1" applyAlignment="1" applyProtection="1">
      <alignment horizontal="right" vertical="center"/>
      <protection locked="0"/>
    </xf>
    <xf numFmtId="14" fontId="11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0" fontId="9" fillId="0" borderId="0" xfId="0" applyFont="1"/>
    <xf numFmtId="0" fontId="10" fillId="0" borderId="0" xfId="0" applyFont="1" applyAlignment="1" applyProtection="1">
      <alignment horizontal="right" vertical="center"/>
      <protection locked="0"/>
    </xf>
    <xf numFmtId="49" fontId="11" fillId="2" borderId="0" xfId="0" applyNumberFormat="1" applyFont="1" applyFill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49" fontId="11" fillId="3" borderId="8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49" fontId="11" fillId="3" borderId="10" xfId="1" applyNumberFormat="1" applyFont="1" applyFill="1" applyBorder="1" applyAlignment="1">
      <alignment horizontal="center" vertical="center"/>
    </xf>
    <xf numFmtId="49" fontId="11" fillId="3" borderId="11" xfId="1" applyNumberFormat="1" applyFont="1" applyFill="1" applyBorder="1" applyAlignment="1">
      <alignment horizontal="center" vertical="center"/>
    </xf>
    <xf numFmtId="1" fontId="11" fillId="3" borderId="12" xfId="1" applyNumberFormat="1" applyFont="1" applyFill="1" applyBorder="1" applyAlignment="1">
      <alignment horizontal="center" vertical="center"/>
    </xf>
    <xf numFmtId="1" fontId="11" fillId="3" borderId="13" xfId="1" applyNumberFormat="1" applyFont="1" applyFill="1" applyBorder="1" applyAlignment="1">
      <alignment horizontal="left" vertical="center" wrapText="1"/>
    </xf>
    <xf numFmtId="1" fontId="11" fillId="3" borderId="14" xfId="1" applyNumberFormat="1" applyFont="1" applyFill="1" applyBorder="1" applyAlignment="1">
      <alignment horizontal="left" vertical="center" wrapText="1"/>
    </xf>
    <xf numFmtId="1" fontId="11" fillId="3" borderId="14" xfId="1" applyNumberFormat="1" applyFont="1" applyFill="1" applyBorder="1" applyAlignment="1">
      <alignment horizontal="center" vertical="center"/>
    </xf>
    <xf numFmtId="1" fontId="11" fillId="3" borderId="1" xfId="1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vertical="center" wrapText="1"/>
    </xf>
    <xf numFmtId="164" fontId="15" fillId="0" borderId="19" xfId="1" applyNumberFormat="1" applyFont="1" applyFill="1" applyBorder="1" applyAlignment="1">
      <alignment vertical="center" shrinkToFit="1"/>
    </xf>
    <xf numFmtId="165" fontId="15" fillId="0" borderId="20" xfId="1" applyNumberFormat="1" applyFont="1" applyFill="1" applyBorder="1" applyAlignment="1">
      <alignment vertical="center" shrinkToFit="1"/>
    </xf>
    <xf numFmtId="165" fontId="15" fillId="0" borderId="21" xfId="1" applyNumberFormat="1" applyFont="1" applyFill="1" applyBorder="1" applyAlignment="1">
      <alignment vertical="center" shrinkToFit="1"/>
    </xf>
    <xf numFmtId="164" fontId="15" fillId="0" borderId="21" xfId="1" applyNumberFormat="1" applyFont="1" applyFill="1" applyBorder="1" applyAlignment="1">
      <alignment vertical="center" shrinkToFit="1"/>
    </xf>
    <xf numFmtId="165" fontId="15" fillId="0" borderId="19" xfId="1" applyNumberFormat="1" applyFont="1" applyFill="1" applyBorder="1" applyAlignment="1">
      <alignment vertical="center" shrinkToFit="1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 wrapText="1" indent="1"/>
    </xf>
    <xf numFmtId="164" fontId="19" fillId="0" borderId="21" xfId="1" applyNumberFormat="1" applyFont="1" applyFill="1" applyBorder="1" applyAlignment="1">
      <alignment vertical="center" shrinkToFit="1"/>
    </xf>
    <xf numFmtId="165" fontId="19" fillId="0" borderId="26" xfId="1" applyNumberFormat="1" applyFont="1" applyFill="1" applyBorder="1" applyAlignment="1">
      <alignment vertical="center" shrinkToFit="1"/>
    </xf>
    <xf numFmtId="165" fontId="19" fillId="0" borderId="21" xfId="1" applyNumberFormat="1" applyFont="1" applyFill="1" applyBorder="1" applyAlignment="1">
      <alignment vertical="center" shrinkToFit="1"/>
    </xf>
    <xf numFmtId="0" fontId="18" fillId="0" borderId="25" xfId="0" applyFont="1" applyBorder="1" applyAlignment="1">
      <alignment horizontal="left" vertical="center" wrapText="1" indent="2"/>
    </xf>
    <xf numFmtId="0" fontId="18" fillId="0" borderId="25" xfId="0" applyFont="1" applyBorder="1" applyAlignment="1">
      <alignment horizontal="left" vertical="center" wrapText="1" indent="3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vertical="center" wrapText="1"/>
    </xf>
    <xf numFmtId="165" fontId="15" fillId="0" borderId="26" xfId="1" applyNumberFormat="1" applyFont="1" applyFill="1" applyBorder="1" applyAlignment="1">
      <alignment vertical="center" shrinkToFit="1"/>
    </xf>
    <xf numFmtId="164" fontId="19" fillId="0" borderId="21" xfId="1" applyNumberFormat="1" applyFont="1" applyFill="1" applyBorder="1" applyAlignment="1">
      <alignment horizontal="center" vertical="center" shrinkToFit="1"/>
    </xf>
    <xf numFmtId="164" fontId="19" fillId="0" borderId="26" xfId="1" applyNumberFormat="1" applyFont="1" applyFill="1" applyBorder="1" applyAlignment="1">
      <alignment horizontal="center" vertical="center" shrinkToFit="1"/>
    </xf>
    <xf numFmtId="164" fontId="19" fillId="0" borderId="26" xfId="1" applyNumberFormat="1" applyFont="1" applyFill="1" applyBorder="1" applyAlignment="1">
      <alignment vertical="center" shrinkToFit="1"/>
    </xf>
    <xf numFmtId="164" fontId="15" fillId="0" borderId="21" xfId="1" applyNumberFormat="1" applyFont="1" applyFill="1" applyBorder="1" applyAlignment="1">
      <alignment horizontal="center" vertical="center" shrinkToFit="1"/>
    </xf>
    <xf numFmtId="164" fontId="15" fillId="0" borderId="26" xfId="1" applyNumberFormat="1" applyFont="1" applyFill="1" applyBorder="1" applyAlignment="1">
      <alignment horizontal="center" vertical="center" shrinkToFit="1"/>
    </xf>
    <xf numFmtId="166" fontId="19" fillId="0" borderId="21" xfId="1" applyNumberFormat="1" applyFont="1" applyFill="1" applyBorder="1" applyAlignment="1">
      <alignment vertical="center" shrinkToFit="1"/>
    </xf>
    <xf numFmtId="0" fontId="18" fillId="0" borderId="22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 wrapText="1" indent="2"/>
      <protection locked="0"/>
    </xf>
    <xf numFmtId="0" fontId="19" fillId="0" borderId="21" xfId="1" applyNumberFormat="1" applyFont="1" applyFill="1" applyBorder="1" applyAlignment="1">
      <alignment horizontal="center" vertical="center" shrinkToFit="1"/>
    </xf>
    <xf numFmtId="0" fontId="17" fillId="0" borderId="25" xfId="0" applyFont="1" applyBorder="1" applyAlignment="1">
      <alignment horizontal="left" vertical="center" wrapText="1"/>
    </xf>
    <xf numFmtId="165" fontId="15" fillId="0" borderId="32" xfId="1" applyNumberFormat="1" applyFont="1" applyFill="1" applyBorder="1" applyAlignment="1">
      <alignment vertical="center" shrinkToFit="1"/>
    </xf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 wrapText="1" indent="2"/>
    </xf>
    <xf numFmtId="164" fontId="19" fillId="0" borderId="39" xfId="1" applyNumberFormat="1" applyFont="1" applyFill="1" applyBorder="1" applyAlignment="1">
      <alignment horizontal="center" vertical="center" shrinkToFit="1"/>
    </xf>
    <xf numFmtId="164" fontId="19" fillId="0" borderId="39" xfId="1" applyNumberFormat="1" applyFont="1" applyFill="1" applyBorder="1" applyAlignment="1">
      <alignment vertical="center" shrinkToFit="1"/>
    </xf>
    <xf numFmtId="164" fontId="19" fillId="0" borderId="40" xfId="1" applyNumberFormat="1" applyFont="1" applyFill="1" applyBorder="1" applyAlignment="1">
      <alignment horizontal="center" vertical="center" shrinkToFit="1"/>
    </xf>
    <xf numFmtId="0" fontId="17" fillId="0" borderId="16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/>
      <protection locked="0"/>
    </xf>
    <xf numFmtId="0" fontId="17" fillId="0" borderId="41" xfId="0" applyFont="1" applyBorder="1" applyAlignment="1">
      <alignment vertical="center" wrapText="1"/>
    </xf>
    <xf numFmtId="164" fontId="15" fillId="0" borderId="19" xfId="1" applyNumberFormat="1" applyFont="1" applyFill="1" applyBorder="1" applyAlignment="1">
      <alignment horizontal="center" vertical="center" shrinkToFit="1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 indent="1"/>
    </xf>
    <xf numFmtId="0" fontId="18" fillId="0" borderId="24" xfId="0" applyFont="1" applyBorder="1" applyAlignment="1">
      <alignment horizontal="left" vertical="center" wrapText="1" indent="2"/>
    </xf>
    <xf numFmtId="0" fontId="18" fillId="0" borderId="42" xfId="0" applyFont="1" applyBorder="1" applyAlignment="1">
      <alignment horizontal="left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left" vertical="center" wrapText="1" indent="1"/>
    </xf>
    <xf numFmtId="165" fontId="15" fillId="0" borderId="32" xfId="1" applyNumberFormat="1" applyFont="1" applyFill="1" applyBorder="1" applyAlignment="1">
      <alignment horizontal="center" vertical="center" shrinkToFit="1"/>
    </xf>
    <xf numFmtId="165" fontId="15" fillId="0" borderId="28" xfId="1" applyNumberFormat="1" applyFont="1" applyFill="1" applyBorder="1" applyAlignment="1">
      <alignment horizontal="center" vertical="center" shrinkToFit="1"/>
    </xf>
    <xf numFmtId="165" fontId="15" fillId="0" borderId="30" xfId="1" applyNumberFormat="1" applyFont="1" applyFill="1" applyBorder="1" applyAlignment="1">
      <alignment horizontal="center" vertical="center" shrinkToFit="1"/>
    </xf>
    <xf numFmtId="164" fontId="19" fillId="0" borderId="27" xfId="1" applyNumberFormat="1" applyFont="1" applyFill="1" applyBorder="1" applyAlignment="1">
      <alignment vertical="center" shrinkToFit="1"/>
    </xf>
    <xf numFmtId="164" fontId="19" fillId="0" borderId="33" xfId="1" applyNumberFormat="1" applyFont="1" applyFill="1" applyBorder="1" applyAlignment="1">
      <alignment vertical="center" shrinkToFit="1"/>
    </xf>
    <xf numFmtId="164" fontId="19" fillId="0" borderId="28" xfId="1" applyNumberFormat="1" applyFont="1" applyFill="1" applyBorder="1" applyAlignment="1">
      <alignment vertical="center" shrinkToFit="1"/>
    </xf>
    <xf numFmtId="164" fontId="19" fillId="0" borderId="34" xfId="1" applyNumberFormat="1" applyFont="1" applyFill="1" applyBorder="1" applyAlignment="1">
      <alignment vertical="center" shrinkToFit="1"/>
    </xf>
    <xf numFmtId="165" fontId="19" fillId="0" borderId="29" xfId="1" applyNumberFormat="1" applyFont="1" applyFill="1" applyBorder="1" applyAlignment="1">
      <alignment vertical="center" shrinkToFit="1"/>
    </xf>
    <xf numFmtId="165" fontId="19" fillId="0" borderId="31" xfId="1" applyNumberFormat="1" applyFont="1" applyFill="1" applyBorder="1" applyAlignment="1">
      <alignment vertical="center" shrinkToFit="1"/>
    </xf>
    <xf numFmtId="165" fontId="19" fillId="0" borderId="27" xfId="1" applyNumberFormat="1" applyFont="1" applyFill="1" applyBorder="1" applyAlignment="1">
      <alignment vertical="center" shrinkToFit="1"/>
    </xf>
    <xf numFmtId="165" fontId="19" fillId="0" borderId="19" xfId="1" applyNumberFormat="1" applyFont="1" applyFill="1" applyBorder="1" applyAlignment="1">
      <alignment vertical="center" shrinkToFit="1"/>
    </xf>
    <xf numFmtId="165" fontId="15" fillId="0" borderId="27" xfId="1" applyNumberFormat="1" applyFont="1" applyFill="1" applyBorder="1" applyAlignment="1">
      <alignment horizontal="center" vertical="center" shrinkToFit="1"/>
    </xf>
    <xf numFmtId="165" fontId="15" fillId="0" borderId="19" xfId="1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1" fontId="15" fillId="3" borderId="5" xfId="1" applyNumberFormat="1" applyFont="1" applyFill="1" applyBorder="1" applyAlignment="1">
      <alignment horizontal="center" vertical="center"/>
    </xf>
    <xf numFmtId="1" fontId="15" fillId="3" borderId="6" xfId="1" applyNumberFormat="1" applyFont="1" applyFill="1" applyBorder="1" applyAlignment="1">
      <alignment horizontal="center" vertical="center"/>
    </xf>
    <xf numFmtId="1" fontId="15" fillId="3" borderId="7" xfId="1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vertical="center" shrinkToFit="1"/>
    </xf>
    <xf numFmtId="164" fontId="19" fillId="0" borderId="30" xfId="1" applyNumberFormat="1" applyFont="1" applyFill="1" applyBorder="1" applyAlignment="1">
      <alignment vertical="center" shrinkToFit="1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 wrapText="1" indent="2"/>
    </xf>
    <xf numFmtId="164" fontId="19" fillId="0" borderId="19" xfId="1" applyNumberFormat="1" applyFont="1" applyFill="1" applyBorder="1" applyAlignment="1">
      <alignment horizontal="center" vertical="center" shrinkToFit="1"/>
    </xf>
    <xf numFmtId="0" fontId="19" fillId="0" borderId="19" xfId="1" applyNumberFormat="1" applyFont="1" applyFill="1" applyBorder="1" applyAlignment="1">
      <alignment horizontal="center" vertical="center" shrinkToFit="1"/>
    </xf>
    <xf numFmtId="164" fontId="19" fillId="0" borderId="20" xfId="1" applyNumberFormat="1" applyFont="1" applyFill="1" applyBorder="1" applyAlignment="1">
      <alignment horizontal="center" vertical="center" shrinkToFit="1"/>
    </xf>
    <xf numFmtId="0" fontId="18" fillId="0" borderId="38" xfId="0" applyFont="1" applyBorder="1" applyAlignment="1">
      <alignment horizontal="left" vertical="center" wrapText="1" indent="1"/>
    </xf>
    <xf numFmtId="0" fontId="19" fillId="0" borderId="39" xfId="1" applyNumberFormat="1" applyFont="1" applyFill="1" applyBorder="1" applyAlignment="1">
      <alignment horizontal="center" vertical="center" shrinkToFit="1"/>
    </xf>
  </cellXfs>
  <cellStyles count="2">
    <cellStyle name="Normalny" xfId="0" builtinId="0"/>
    <cellStyle name="Normalny 6 2" xfId="1"/>
  </cellStyles>
  <dxfs count="8">
    <dxf>
      <font>
        <b/>
        <i val="0"/>
      </font>
      <fill>
        <patternFill>
          <bgColor rgb="FFCCFFFF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8543~1.PRZ/AppData/Local/Temp/4d0c1164f4fa44ffa8093f8bddc5505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zet po zmianach (rok N)"/>
      <sheetName val="WPF a Budzet (rok N)"/>
      <sheetName val="WPF a Rb (wybr okr)"/>
      <sheetName val="Sprawdz WPF=Rb w (N-3)..(N-1)"/>
      <sheetName val="Wybrany_WPF"/>
      <sheetName val="AnalizaWsk243"/>
      <sheetName val="metodologia"/>
      <sheetName val="DaneBudzet"/>
      <sheetName val="DaneBudzetWsk243"/>
      <sheetName val="DaneZrodlowe"/>
      <sheetName val="definicj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2016</v>
          </cell>
        </row>
        <row r="5">
          <cell r="B5">
            <v>2</v>
          </cell>
        </row>
        <row r="6">
          <cell r="J6">
            <v>1</v>
          </cell>
        </row>
        <row r="7">
          <cell r="J7" t="b">
            <v>1</v>
          </cell>
        </row>
        <row r="8">
          <cell r="J8" t="b">
            <v>1</v>
          </cell>
        </row>
        <row r="9">
          <cell r="E9">
            <v>0</v>
          </cell>
        </row>
      </sheetData>
      <sheetData sheetId="7"/>
      <sheetData sheetId="8"/>
      <sheetData sheetId="9">
        <row r="1">
          <cell r="N1">
            <v>2016</v>
          </cell>
          <cell r="Q1">
            <v>2028</v>
          </cell>
        </row>
        <row r="4">
          <cell r="B4" t="str">
            <v>XXI-135-16</v>
          </cell>
          <cell r="C4" t="str">
            <v>PŁOTY</v>
          </cell>
          <cell r="O4">
            <v>42551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>
    <tabColor theme="9" tint="0.39997558519241921"/>
    <outlinePr summaryBelow="0" summaryRight="0"/>
  </sheetPr>
  <dimension ref="A1:Y114"/>
  <sheetViews>
    <sheetView tabSelected="1" view="pageBreakPreview" zoomScale="89" zoomScaleNormal="90" zoomScaleSheetLayoutView="89" workbookViewId="0">
      <pane xSplit="5" ySplit="9" topLeftCell="F58" activePane="bottomRight" state="frozen"/>
      <selection pane="topRight" activeCell="F1" sqref="F1"/>
      <selection pane="bottomLeft" activeCell="A10" sqref="A10"/>
      <selection pane="bottomRight" activeCell="A61" sqref="A61:M61"/>
    </sheetView>
  </sheetViews>
  <sheetFormatPr defaultRowHeight="14.25" outlineLevelRow="1" outlineLevelCol="1"/>
  <cols>
    <col min="1" max="1" width="5.875" style="17" customWidth="1" collapsed="1"/>
    <col min="2" max="2" width="4.375" style="2" hidden="1" customWidth="1" outlineLevel="1"/>
    <col min="3" max="3" width="4.25" style="3" hidden="1" customWidth="1" outlineLevel="1"/>
    <col min="4" max="4" width="7.25" style="17" hidden="1" customWidth="1"/>
    <col min="5" max="5" width="58.625" style="17" customWidth="1" collapsed="1"/>
    <col min="6" max="8" width="13.5" style="17" hidden="1" customWidth="1" outlineLevel="1"/>
    <col min="9" max="9" width="13.25" hidden="1" customWidth="1" outlineLevel="1"/>
    <col min="10" max="10" width="14" style="17" customWidth="1"/>
    <col min="11" max="12" width="14" style="17" customWidth="1" outlineLevel="1"/>
    <col min="13" max="14" width="8.5" style="17" customWidth="1" outlineLevel="1"/>
    <col min="15" max="15" width="14" style="17" customWidth="1" collapsed="1"/>
    <col min="16" max="18" width="14" style="17" hidden="1" customWidth="1" outlineLevel="1"/>
    <col min="19" max="19" width="7.625" customWidth="1"/>
    <col min="20" max="25" width="7.625" customWidth="1" outlineLevel="1"/>
  </cols>
  <sheetData>
    <row r="1" spans="1:25">
      <c r="A1" s="1"/>
      <c r="D1" s="1"/>
      <c r="E1" s="4" t="s">
        <v>0</v>
      </c>
      <c r="F1" s="5"/>
      <c r="G1" s="5"/>
      <c r="H1" s="5"/>
      <c r="J1" s="6" t="s">
        <v>1</v>
      </c>
      <c r="K1" s="7"/>
      <c r="L1" s="7"/>
      <c r="M1" s="7"/>
      <c r="N1" s="7"/>
      <c r="O1" s="7"/>
      <c r="P1" s="7"/>
      <c r="Q1" s="7"/>
      <c r="R1" s="7"/>
    </row>
    <row r="2" spans="1:25" ht="45">
      <c r="A2" s="8"/>
      <c r="D2" s="9"/>
      <c r="E2" s="10" t="s">
        <v>2</v>
      </c>
      <c r="F2" s="8"/>
      <c r="G2" s="8"/>
      <c r="H2" s="8"/>
      <c r="J2" s="11"/>
      <c r="K2" s="11"/>
      <c r="L2" s="11"/>
      <c r="M2" s="11"/>
      <c r="N2" s="11"/>
      <c r="O2" s="11"/>
      <c r="P2" s="11"/>
      <c r="Q2" s="11"/>
      <c r="R2" s="11"/>
    </row>
    <row r="3" spans="1:25" outlineLevel="1">
      <c r="A3" s="12"/>
      <c r="D3" s="12"/>
      <c r="E3" s="12"/>
      <c r="F3" s="12"/>
      <c r="G3" s="12"/>
      <c r="H3" s="12"/>
      <c r="J3" s="11"/>
      <c r="K3" s="11"/>
      <c r="L3" s="11"/>
      <c r="M3" s="11"/>
      <c r="N3" s="11"/>
      <c r="O3" s="11"/>
      <c r="P3" s="11"/>
      <c r="Q3" s="11"/>
      <c r="R3" s="11"/>
    </row>
    <row r="4" spans="1:25" ht="15" outlineLevel="1">
      <c r="A4" s="11"/>
      <c r="D4" s="11"/>
      <c r="E4" s="13" t="s">
        <v>3</v>
      </c>
      <c r="F4" s="13"/>
      <c r="G4" s="13"/>
      <c r="H4" s="13"/>
      <c r="J4" s="14" t="str">
        <f>[1]DaneZrodlowe!B4</f>
        <v>XXI-135-16</v>
      </c>
      <c r="K4" s="14" t="s">
        <v>4</v>
      </c>
      <c r="L4" s="15">
        <f>+[1]DaneZrodlowe!$O$4</f>
        <v>42551</v>
      </c>
      <c r="M4" s="16"/>
      <c r="N4" s="16"/>
      <c r="O4" s="16"/>
      <c r="P4" s="16"/>
      <c r="Q4" s="16"/>
      <c r="R4" s="16"/>
    </row>
    <row r="5" spans="1:25" ht="15" outlineLevel="1">
      <c r="E5" s="18" t="s">
        <v>5</v>
      </c>
      <c r="F5" s="18"/>
      <c r="G5" s="18"/>
      <c r="H5" s="18"/>
      <c r="J5" s="19" t="str">
        <f>[1]DaneZrodlowe!C4</f>
        <v>PŁOTY</v>
      </c>
      <c r="O5"/>
      <c r="P5"/>
      <c r="Q5"/>
      <c r="R5"/>
    </row>
    <row r="6" spans="1:25" ht="15" outlineLevel="1">
      <c r="E6" s="20" t="s">
        <v>6</v>
      </c>
      <c r="F6" s="20"/>
      <c r="G6" s="20"/>
      <c r="H6" s="20"/>
      <c r="J6" s="21" t="str">
        <f>CONCATENATE([1]DaneZrodlowe!N1," - ",[1]DaneZrodlowe!Q1)</f>
        <v>2016 - 2028</v>
      </c>
      <c r="O6"/>
      <c r="P6"/>
      <c r="Q6"/>
      <c r="R6"/>
    </row>
    <row r="7" spans="1:25" ht="16.5" thickBot="1">
      <c r="F7" s="101" t="s">
        <v>7</v>
      </c>
      <c r="G7" s="101"/>
      <c r="H7" s="101"/>
      <c r="I7" s="101"/>
    </row>
    <row r="8" spans="1:25" ht="15.75" hidden="1" customHeight="1">
      <c r="A8" s="11"/>
      <c r="D8" s="11"/>
      <c r="E8" s="22"/>
      <c r="F8" s="23" t="s">
        <v>8</v>
      </c>
      <c r="G8" s="23" t="s">
        <v>8</v>
      </c>
      <c r="H8" s="23" t="s">
        <v>9</v>
      </c>
      <c r="I8" s="23" t="s">
        <v>8</v>
      </c>
      <c r="J8" s="24" t="s">
        <v>10</v>
      </c>
      <c r="K8" s="102" t="str">
        <f>+"Rb za: "&amp;RokRb&amp;" r. "&amp;"kw. "&amp;KwartalRb</f>
        <v>Rb za: 2016 r. kw. 2</v>
      </c>
      <c r="L8" s="102"/>
      <c r="M8" s="102"/>
      <c r="N8" s="103"/>
      <c r="O8" s="104" t="s">
        <v>11</v>
      </c>
      <c r="P8" s="104"/>
      <c r="Q8" s="104"/>
      <c r="R8" s="105"/>
      <c r="S8" s="106" t="s">
        <v>12</v>
      </c>
      <c r="T8" s="107"/>
      <c r="U8" s="107"/>
      <c r="V8" s="107"/>
      <c r="W8" s="107"/>
      <c r="X8" s="107"/>
      <c r="Y8" s="108"/>
    </row>
    <row r="9" spans="1:25" ht="29.25" thickBot="1">
      <c r="A9" s="25" t="s">
        <v>13</v>
      </c>
      <c r="B9" s="26" t="s">
        <v>14</v>
      </c>
      <c r="C9" s="27" t="s">
        <v>15</v>
      </c>
      <c r="D9" s="28"/>
      <c r="E9" s="29" t="s">
        <v>16</v>
      </c>
      <c r="F9" s="30">
        <f>+G9-1</f>
        <v>2013</v>
      </c>
      <c r="G9" s="30">
        <f>+I9-1</f>
        <v>2014</v>
      </c>
      <c r="H9" s="30">
        <f>+J9-1</f>
        <v>2015</v>
      </c>
      <c r="I9" s="30">
        <f>+J9-1</f>
        <v>2015</v>
      </c>
      <c r="J9" s="30">
        <f>+[1]metodologia!E9+Rok_bazowy</f>
        <v>2016</v>
      </c>
      <c r="K9" s="30" t="s">
        <v>17</v>
      </c>
      <c r="L9" s="30" t="s">
        <v>18</v>
      </c>
      <c r="M9" s="31" t="s">
        <v>19</v>
      </c>
      <c r="N9" s="32" t="s">
        <v>20</v>
      </c>
      <c r="O9" s="33">
        <f>+J9+1</f>
        <v>2017</v>
      </c>
      <c r="P9" s="33">
        <f>+O9+1</f>
        <v>2018</v>
      </c>
      <c r="Q9" s="33">
        <f>+P9+1</f>
        <v>2019</v>
      </c>
      <c r="R9" s="33">
        <f>+Q9+1</f>
        <v>2020</v>
      </c>
      <c r="S9" s="34">
        <f>+G9</f>
        <v>2014</v>
      </c>
      <c r="T9" s="34">
        <f t="shared" ref="T9:Y9" si="0">+S9+1</f>
        <v>2015</v>
      </c>
      <c r="U9" s="34">
        <f t="shared" si="0"/>
        <v>2016</v>
      </c>
      <c r="V9" s="34">
        <f t="shared" si="0"/>
        <v>2017</v>
      </c>
      <c r="W9" s="34">
        <f t="shared" si="0"/>
        <v>2018</v>
      </c>
      <c r="X9" s="34">
        <f t="shared" si="0"/>
        <v>2019</v>
      </c>
      <c r="Y9" s="34">
        <f t="shared" si="0"/>
        <v>2020</v>
      </c>
    </row>
    <row r="10" spans="1:25">
      <c r="A10" s="35">
        <v>1</v>
      </c>
      <c r="B10" s="36">
        <v>1</v>
      </c>
      <c r="C10" s="36" t="s">
        <v>21</v>
      </c>
      <c r="D10" s="37"/>
      <c r="E10" s="38" t="s">
        <v>22</v>
      </c>
      <c r="F10" s="39">
        <f>31037324.39</f>
        <v>31037324.390000001</v>
      </c>
      <c r="G10" s="39">
        <f>34823832.89</f>
        <v>34823832.890000001</v>
      </c>
      <c r="H10" s="39">
        <f>33458732.94</f>
        <v>33458732.940000001</v>
      </c>
      <c r="I10" s="39">
        <f>31240465.05</f>
        <v>31240465.050000001</v>
      </c>
      <c r="J10" s="39">
        <f>36410784.01</f>
        <v>36410784.009999998</v>
      </c>
      <c r="K10" s="39">
        <f>36406918.01</f>
        <v>36406918.009999998</v>
      </c>
      <c r="L10" s="39">
        <f>17824520.66</f>
        <v>17824520.66</v>
      </c>
      <c r="M10" s="40">
        <f t="shared" ref="M10:M23" si="1">+IF(J10&lt;&gt;0,L10/J10,0)</f>
        <v>0.48953960055088641</v>
      </c>
      <c r="N10" s="41">
        <f t="shared" ref="N10:N23" si="2">+IF(K10&lt;&gt;0,L10/K10,0)</f>
        <v>0.48959158408036862</v>
      </c>
      <c r="O10" s="42">
        <f>39654498.98</f>
        <v>39654498.979999997</v>
      </c>
      <c r="P10" s="42">
        <f>34254542.05</f>
        <v>34254542.049999997</v>
      </c>
      <c r="Q10" s="42">
        <f>37447060.9</f>
        <v>37447060.899999999</v>
      </c>
      <c r="R10" s="42">
        <f>37253877.8</f>
        <v>37253877.799999997</v>
      </c>
      <c r="S10" s="43">
        <f t="shared" ref="S10:S23" si="3">+IF(F10&lt;&gt;0,G10/F10-1,"")</f>
        <v>0.12199854769762264</v>
      </c>
      <c r="T10" s="43">
        <f t="shared" ref="T10:T23" si="4">+IF(G10&lt;&gt;0,I10/G10-1,"")</f>
        <v>-0.10289986892939051</v>
      </c>
      <c r="U10" s="43">
        <f t="shared" ref="U10:U23" si="5">+IF(I10&lt;&gt;0,J10/I10-1,"")</f>
        <v>0.16550070403001249</v>
      </c>
      <c r="V10" s="43">
        <f t="shared" ref="V10:V23" si="6">+IF(J10&lt;&gt;0,O10/J10-1,"")</f>
        <v>8.9086655456502406E-2</v>
      </c>
      <c r="W10" s="43">
        <f t="shared" ref="W10:Y23" si="7">+IF(O10&lt;&gt;0,P10/O10-1,"")</f>
        <v>-0.1361751394898093</v>
      </c>
      <c r="X10" s="43">
        <f t="shared" si="7"/>
        <v>9.3199869533798108E-2</v>
      </c>
      <c r="Y10" s="43">
        <f t="shared" si="7"/>
        <v>-5.1588321047647545E-3</v>
      </c>
    </row>
    <row r="11" spans="1:25">
      <c r="A11" s="44" t="s">
        <v>23</v>
      </c>
      <c r="B11" s="45">
        <v>1</v>
      </c>
      <c r="C11" s="45" t="s">
        <v>21</v>
      </c>
      <c r="D11" s="46"/>
      <c r="E11" s="47" t="s">
        <v>24</v>
      </c>
      <c r="F11" s="48">
        <f>+F10-F18</f>
        <v>28793133.789999999</v>
      </c>
      <c r="G11" s="48">
        <f>+G10-G18</f>
        <v>29804141.190000001</v>
      </c>
      <c r="H11" s="48">
        <f>+H10-H18</f>
        <v>29322235.370000001</v>
      </c>
      <c r="I11" s="48">
        <f>+I10-I18</f>
        <v>29183817.460000001</v>
      </c>
      <c r="J11" s="48">
        <f>33098014.73</f>
        <v>33098014.73</v>
      </c>
      <c r="K11" s="48">
        <f>+K10-K18</f>
        <v>33094148.729999997</v>
      </c>
      <c r="L11" s="48">
        <f>+L10-L18</f>
        <v>17795940.66</v>
      </c>
      <c r="M11" s="49">
        <f t="shared" si="1"/>
        <v>0.53767396036203285</v>
      </c>
      <c r="N11" s="50">
        <f t="shared" si="2"/>
        <v>0.53773677048438173</v>
      </c>
      <c r="O11" s="48">
        <f>30448149.02</f>
        <v>30448149.02</v>
      </c>
      <c r="P11" s="48">
        <f>29545606.18</f>
        <v>29545606.18</v>
      </c>
      <c r="Q11" s="48">
        <f>32197141.75</f>
        <v>32197141.75</v>
      </c>
      <c r="R11" s="48">
        <f>33523325.11</f>
        <v>33523325.109999999</v>
      </c>
      <c r="S11" s="43">
        <f t="shared" si="3"/>
        <v>3.5112794854970986E-2</v>
      </c>
      <c r="T11" s="43">
        <f t="shared" si="4"/>
        <v>-2.0813340201466191E-2</v>
      </c>
      <c r="U11" s="43">
        <f t="shared" si="5"/>
        <v>0.1341221817661411</v>
      </c>
      <c r="V11" s="43">
        <f t="shared" si="6"/>
        <v>-8.0061167765393626E-2</v>
      </c>
      <c r="W11" s="43">
        <f t="shared" si="7"/>
        <v>-2.9641960810398049E-2</v>
      </c>
      <c r="X11" s="43">
        <f t="shared" si="7"/>
        <v>8.9743820243392891E-2</v>
      </c>
      <c r="Y11" s="43">
        <f t="shared" si="7"/>
        <v>4.1189474839020468E-2</v>
      </c>
    </row>
    <row r="12" spans="1:25">
      <c r="A12" s="44" t="s">
        <v>25</v>
      </c>
      <c r="B12" s="45">
        <v>1</v>
      </c>
      <c r="C12" s="45"/>
      <c r="D12" s="46"/>
      <c r="E12" s="51" t="s">
        <v>26</v>
      </c>
      <c r="F12" s="48">
        <f>2439309</f>
        <v>2439309</v>
      </c>
      <c r="G12" s="48">
        <f>2841078</f>
        <v>2841078</v>
      </c>
      <c r="H12" s="48">
        <f>3231967</f>
        <v>3231967</v>
      </c>
      <c r="I12" s="48">
        <f>3260090</f>
        <v>3260090</v>
      </c>
      <c r="J12" s="48">
        <f>3471453</f>
        <v>3471453</v>
      </c>
      <c r="K12" s="48">
        <f>3471453</f>
        <v>3471453</v>
      </c>
      <c r="L12" s="48">
        <f>1601075</f>
        <v>1601075</v>
      </c>
      <c r="M12" s="49">
        <f t="shared" si="1"/>
        <v>0.461211775011789</v>
      </c>
      <c r="N12" s="50">
        <f t="shared" si="2"/>
        <v>0.461211775011789</v>
      </c>
      <c r="O12" s="48">
        <f>3475737.82</f>
        <v>3475737.82</v>
      </c>
      <c r="P12" s="48">
        <f>3480004.05</f>
        <v>3480004.05</v>
      </c>
      <c r="Q12" s="48">
        <f>3525904.14</f>
        <v>3525904.14</v>
      </c>
      <c r="R12" s="48">
        <f>3603474.03</f>
        <v>3603474.03</v>
      </c>
      <c r="S12" s="43">
        <f t="shared" si="3"/>
        <v>0.16470607044863939</v>
      </c>
      <c r="T12" s="43">
        <f t="shared" si="4"/>
        <v>0.14748345522368611</v>
      </c>
      <c r="U12" s="43">
        <f t="shared" si="5"/>
        <v>6.4833486192098944E-2</v>
      </c>
      <c r="V12" s="43">
        <f t="shared" si="6"/>
        <v>1.2343016022398068E-3</v>
      </c>
      <c r="W12" s="43">
        <f t="shared" si="7"/>
        <v>1.2274314752542814E-3</v>
      </c>
      <c r="X12" s="43">
        <f t="shared" si="7"/>
        <v>1.3189665684440799E-2</v>
      </c>
      <c r="Y12" s="43">
        <f t="shared" si="7"/>
        <v>2.1999999693695482E-2</v>
      </c>
    </row>
    <row r="13" spans="1:25">
      <c r="A13" s="44" t="s">
        <v>27</v>
      </c>
      <c r="B13" s="45">
        <v>1</v>
      </c>
      <c r="C13" s="45"/>
      <c r="D13" s="46"/>
      <c r="E13" s="51" t="s">
        <v>28</v>
      </c>
      <c r="F13" s="48">
        <f>42015.57</f>
        <v>42015.57</v>
      </c>
      <c r="G13" s="48">
        <f>50503.92</f>
        <v>50503.92</v>
      </c>
      <c r="H13" s="48">
        <f>40000</f>
        <v>40000</v>
      </c>
      <c r="I13" s="48">
        <f>62983.07</f>
        <v>62983.07</v>
      </c>
      <c r="J13" s="48">
        <f>50000</f>
        <v>50000</v>
      </c>
      <c r="K13" s="48">
        <f>50000</f>
        <v>50000</v>
      </c>
      <c r="L13" s="48">
        <f>39092.98</f>
        <v>39092.980000000003</v>
      </c>
      <c r="M13" s="49">
        <f t="shared" si="1"/>
        <v>0.7818596000000001</v>
      </c>
      <c r="N13" s="50">
        <f t="shared" si="2"/>
        <v>0.7818596000000001</v>
      </c>
      <c r="O13" s="48">
        <f>41779.36</f>
        <v>41779.360000000001</v>
      </c>
      <c r="P13" s="48">
        <f>42698.51</f>
        <v>42698.51</v>
      </c>
      <c r="Q13" s="48">
        <f>43637.88</f>
        <v>43637.88</v>
      </c>
      <c r="R13" s="48">
        <f>44597.91</f>
        <v>44597.91</v>
      </c>
      <c r="S13" s="43">
        <f t="shared" si="3"/>
        <v>0.20202867651206446</v>
      </c>
      <c r="T13" s="43">
        <f t="shared" si="4"/>
        <v>0.24709270092301749</v>
      </c>
      <c r="U13" s="43">
        <f t="shared" si="5"/>
        <v>-0.20613587111584109</v>
      </c>
      <c r="V13" s="43">
        <f t="shared" si="6"/>
        <v>-0.16441280000000003</v>
      </c>
      <c r="W13" s="43">
        <f t="shared" si="7"/>
        <v>2.2000097655876072E-2</v>
      </c>
      <c r="X13" s="43">
        <f t="shared" si="7"/>
        <v>2.2000065107658173E-2</v>
      </c>
      <c r="Y13" s="43">
        <f t="shared" si="7"/>
        <v>2.1999923002675725E-2</v>
      </c>
    </row>
    <row r="14" spans="1:25">
      <c r="A14" s="44" t="s">
        <v>29</v>
      </c>
      <c r="B14" s="45">
        <v>1</v>
      </c>
      <c r="C14" s="45"/>
      <c r="D14" s="46"/>
      <c r="E14" s="51" t="s">
        <v>30</v>
      </c>
      <c r="F14" s="48">
        <f>4863818.74</f>
        <v>4863818.74</v>
      </c>
      <c r="G14" s="48">
        <f>6545801.94</f>
        <v>6545801.9400000004</v>
      </c>
      <c r="H14" s="48">
        <f>6076815.72</f>
        <v>6076815.7199999997</v>
      </c>
      <c r="I14" s="48">
        <f>6538704.9</f>
        <v>6538704.9000000004</v>
      </c>
      <c r="J14" s="48">
        <f>5884267.1</f>
        <v>5884267.0999999996</v>
      </c>
      <c r="K14" s="48">
        <f>5884267.1</f>
        <v>5884267.0999999996</v>
      </c>
      <c r="L14" s="48">
        <f>3655357.46</f>
        <v>3655357.46</v>
      </c>
      <c r="M14" s="49">
        <f t="shared" si="1"/>
        <v>0.62120862256575682</v>
      </c>
      <c r="N14" s="50">
        <f t="shared" si="2"/>
        <v>0.62120862256575682</v>
      </c>
      <c r="O14" s="48">
        <f>6313905.78</f>
        <v>6313905.7800000003</v>
      </c>
      <c r="P14" s="48">
        <f>6452811.71</f>
        <v>6452811.71</v>
      </c>
      <c r="Q14" s="48">
        <f>6694773.57</f>
        <v>6694773.5700000003</v>
      </c>
      <c r="R14" s="48">
        <f>6839858.59</f>
        <v>6839858.5899999999</v>
      </c>
      <c r="S14" s="43">
        <f t="shared" si="3"/>
        <v>0.34581535413056952</v>
      </c>
      <c r="T14" s="43">
        <f t="shared" si="4"/>
        <v>-1.0842124563273936E-3</v>
      </c>
      <c r="U14" s="43">
        <f t="shared" si="5"/>
        <v>-0.10008676182954834</v>
      </c>
      <c r="V14" s="43">
        <f t="shared" si="6"/>
        <v>7.3014816067747956E-2</v>
      </c>
      <c r="W14" s="43">
        <f t="shared" si="7"/>
        <v>2.2000000449800883E-2</v>
      </c>
      <c r="X14" s="43">
        <f t="shared" si="7"/>
        <v>3.7497120770629166E-2</v>
      </c>
      <c r="Y14" s="43">
        <f t="shared" si="7"/>
        <v>2.1671385668686538E-2</v>
      </c>
    </row>
    <row r="15" spans="1:25">
      <c r="A15" s="44" t="s">
        <v>31</v>
      </c>
      <c r="B15" s="45">
        <v>1</v>
      </c>
      <c r="C15" s="45"/>
      <c r="D15" s="46"/>
      <c r="E15" s="52" t="s">
        <v>32</v>
      </c>
      <c r="F15" s="48">
        <f>2658384.3</f>
        <v>2658384.2999999998</v>
      </c>
      <c r="G15" s="48">
        <f>2978918.49</f>
        <v>2978918.49</v>
      </c>
      <c r="H15" s="48">
        <f>2750000</f>
        <v>2750000</v>
      </c>
      <c r="I15" s="48">
        <f>3095691.12</f>
        <v>3095691.12</v>
      </c>
      <c r="J15" s="48">
        <f>2700000</f>
        <v>2700000</v>
      </c>
      <c r="K15" s="48">
        <f>2700000</f>
        <v>2700000</v>
      </c>
      <c r="L15" s="48">
        <f>1861995.46</f>
        <v>1861995.46</v>
      </c>
      <c r="M15" s="49">
        <f t="shared" si="1"/>
        <v>0.6896279481481481</v>
      </c>
      <c r="N15" s="50">
        <f t="shared" si="2"/>
        <v>0.6896279481481481</v>
      </c>
      <c r="O15" s="48">
        <f>2872331</f>
        <v>2872331</v>
      </c>
      <c r="P15" s="48">
        <f>2935522.28</f>
        <v>2935522.28</v>
      </c>
      <c r="Q15" s="48">
        <f>3000103.77</f>
        <v>3000103.77</v>
      </c>
      <c r="R15" s="48">
        <f>3066106.05</f>
        <v>3066106.05</v>
      </c>
      <c r="S15" s="43">
        <f t="shared" si="3"/>
        <v>0.12057481305468154</v>
      </c>
      <c r="T15" s="43">
        <f t="shared" si="4"/>
        <v>3.9199672764460125E-2</v>
      </c>
      <c r="U15" s="43">
        <f t="shared" si="5"/>
        <v>-0.12781996157291042</v>
      </c>
      <c r="V15" s="43">
        <f t="shared" si="6"/>
        <v>6.3826296296296325E-2</v>
      </c>
      <c r="W15" s="43">
        <f t="shared" si="7"/>
        <v>2.1999999303701445E-2</v>
      </c>
      <c r="X15" s="43">
        <f t="shared" si="7"/>
        <v>2.1999999945495397E-2</v>
      </c>
      <c r="Y15" s="43">
        <f t="shared" si="7"/>
        <v>2.1999999020033911E-2</v>
      </c>
    </row>
    <row r="16" spans="1:25">
      <c r="A16" s="44" t="s">
        <v>33</v>
      </c>
      <c r="B16" s="45">
        <v>1</v>
      </c>
      <c r="C16" s="45"/>
      <c r="D16" s="46"/>
      <c r="E16" s="51" t="s">
        <v>34</v>
      </c>
      <c r="F16" s="48">
        <f>11974627</f>
        <v>11974627</v>
      </c>
      <c r="G16" s="48">
        <f>10854023</f>
        <v>10854023</v>
      </c>
      <c r="H16" s="48">
        <f>11055847</f>
        <v>11055847</v>
      </c>
      <c r="I16" s="48">
        <f>11055847</f>
        <v>11055847</v>
      </c>
      <c r="J16" s="48">
        <f>10937576</f>
        <v>10937576</v>
      </c>
      <c r="K16" s="48">
        <f>10937576</f>
        <v>10937576</v>
      </c>
      <c r="L16" s="48">
        <f>6257052</f>
        <v>6257052</v>
      </c>
      <c r="M16" s="49">
        <f t="shared" si="1"/>
        <v>0.57206935064954068</v>
      </c>
      <c r="N16" s="50">
        <f t="shared" si="2"/>
        <v>0.57206935064954068</v>
      </c>
      <c r="O16" s="48">
        <f>11652388.84</f>
        <v>11652388.84</v>
      </c>
      <c r="P16" s="48">
        <f>11908741.39</f>
        <v>11908741.390000001</v>
      </c>
      <c r="Q16" s="48">
        <f>12170733.7</f>
        <v>12170733.699999999</v>
      </c>
      <c r="R16" s="48">
        <f>12438489.84</f>
        <v>12438489.84</v>
      </c>
      <c r="S16" s="43">
        <f t="shared" si="3"/>
        <v>-9.3581537028251449E-2</v>
      </c>
      <c r="T16" s="43">
        <f t="shared" si="4"/>
        <v>1.859439582908573E-2</v>
      </c>
      <c r="U16" s="43">
        <f t="shared" si="5"/>
        <v>-1.0697597388965363E-2</v>
      </c>
      <c r="V16" s="43">
        <f t="shared" si="6"/>
        <v>6.5353862684016883E-2</v>
      </c>
      <c r="W16" s="43">
        <f t="shared" si="7"/>
        <v>2.1999999615529564E-2</v>
      </c>
      <c r="X16" s="43">
        <f t="shared" si="7"/>
        <v>2.199999995129609E-2</v>
      </c>
      <c r="Y16" s="43">
        <f t="shared" si="7"/>
        <v>2.1999999884970034E-2</v>
      </c>
    </row>
    <row r="17" spans="1:25">
      <c r="A17" s="44" t="s">
        <v>35</v>
      </c>
      <c r="B17" s="45">
        <v>1</v>
      </c>
      <c r="C17" s="45"/>
      <c r="D17" s="46"/>
      <c r="E17" s="51" t="s">
        <v>36</v>
      </c>
      <c r="F17" s="48">
        <f>7553998.35</f>
        <v>7553998.3499999996</v>
      </c>
      <c r="G17" s="48">
        <f>7784387.25</f>
        <v>7784387.25</v>
      </c>
      <c r="H17" s="48">
        <f>6761071.45</f>
        <v>6761071.4500000002</v>
      </c>
      <c r="I17" s="48">
        <f>7471194.73</f>
        <v>7471194.7300000004</v>
      </c>
      <c r="J17" s="48">
        <f>6379189.99</f>
        <v>6379189.9900000002</v>
      </c>
      <c r="K17" s="48">
        <f>6375323.99</f>
        <v>6375323.9900000002</v>
      </c>
      <c r="L17" s="48">
        <f>4161893.49</f>
        <v>4161893.49</v>
      </c>
      <c r="M17" s="49">
        <f t="shared" si="1"/>
        <v>0.6524172342451271</v>
      </c>
      <c r="N17" s="50">
        <f t="shared" si="2"/>
        <v>0.65281286041746722</v>
      </c>
      <c r="O17" s="48">
        <f>5783202.42</f>
        <v>5783202.4199999999</v>
      </c>
      <c r="P17" s="48">
        <f>5910432.87</f>
        <v>5910432.8700000001</v>
      </c>
      <c r="Q17" s="48">
        <f>6040462.39</f>
        <v>6040462.3899999997</v>
      </c>
      <c r="R17" s="48">
        <f>6173352.56</f>
        <v>6173352.5599999996</v>
      </c>
      <c r="S17" s="43">
        <f t="shared" si="3"/>
        <v>3.0498934382213738E-2</v>
      </c>
      <c r="T17" s="43">
        <f t="shared" si="4"/>
        <v>-4.0233419785224545E-2</v>
      </c>
      <c r="U17" s="43">
        <f t="shared" si="5"/>
        <v>-0.1461619967707628</v>
      </c>
      <c r="V17" s="43">
        <f t="shared" si="6"/>
        <v>-9.3426841171726949E-2</v>
      </c>
      <c r="W17" s="43">
        <f t="shared" si="7"/>
        <v>2.1999999439756834E-2</v>
      </c>
      <c r="X17" s="43">
        <f t="shared" si="7"/>
        <v>2.1999999468735876E-2</v>
      </c>
      <c r="Y17" s="43">
        <f t="shared" si="7"/>
        <v>2.1999999572880347E-2</v>
      </c>
    </row>
    <row r="18" spans="1:25">
      <c r="A18" s="44" t="s">
        <v>37</v>
      </c>
      <c r="B18" s="45">
        <v>1</v>
      </c>
      <c r="C18" s="45" t="s">
        <v>21</v>
      </c>
      <c r="D18" s="46"/>
      <c r="E18" s="47" t="s">
        <v>38</v>
      </c>
      <c r="F18" s="48">
        <f>2244190.6</f>
        <v>2244190.6</v>
      </c>
      <c r="G18" s="48">
        <f>5019691.7</f>
        <v>5019691.7</v>
      </c>
      <c r="H18" s="48">
        <f>4136497.57</f>
        <v>4136497.57</v>
      </c>
      <c r="I18" s="48">
        <f>2056647.59</f>
        <v>2056647.59</v>
      </c>
      <c r="J18" s="48">
        <f>3312769.28</f>
        <v>3312769.28</v>
      </c>
      <c r="K18" s="48">
        <f>3312769.28</f>
        <v>3312769.28</v>
      </c>
      <c r="L18" s="48">
        <f>28580</f>
        <v>28580</v>
      </c>
      <c r="M18" s="49">
        <f t="shared" si="1"/>
        <v>8.6272232034221227E-3</v>
      </c>
      <c r="N18" s="50">
        <f t="shared" si="2"/>
        <v>8.6272232034221227E-3</v>
      </c>
      <c r="O18" s="48">
        <f>9206349.96</f>
        <v>9206349.9600000009</v>
      </c>
      <c r="P18" s="48">
        <f>4708935.87</f>
        <v>4708935.87</v>
      </c>
      <c r="Q18" s="48">
        <f>5249919.15</f>
        <v>5249919.1500000004</v>
      </c>
      <c r="R18" s="48">
        <f>3730552.69</f>
        <v>3730552.69</v>
      </c>
      <c r="S18" s="43">
        <f t="shared" si="3"/>
        <v>1.2367492761087227</v>
      </c>
      <c r="T18" s="43">
        <f t="shared" si="4"/>
        <v>-0.59028408258618748</v>
      </c>
      <c r="U18" s="43">
        <f t="shared" si="5"/>
        <v>0.61076175427798973</v>
      </c>
      <c r="V18" s="43">
        <f t="shared" si="6"/>
        <v>1.7790495449172972</v>
      </c>
      <c r="W18" s="43">
        <f t="shared" si="7"/>
        <v>-0.48851218013007192</v>
      </c>
      <c r="X18" s="43">
        <f t="shared" si="7"/>
        <v>0.11488440168542802</v>
      </c>
      <c r="Y18" s="43">
        <f t="shared" si="7"/>
        <v>-0.28940759211501388</v>
      </c>
    </row>
    <row r="19" spans="1:25">
      <c r="A19" s="44" t="s">
        <v>39</v>
      </c>
      <c r="B19" s="45">
        <v>1</v>
      </c>
      <c r="C19" s="45" t="s">
        <v>21</v>
      </c>
      <c r="D19" s="46"/>
      <c r="E19" s="51" t="s">
        <v>40</v>
      </c>
      <c r="F19" s="48">
        <f>219692.43</f>
        <v>219692.43</v>
      </c>
      <c r="G19" s="48">
        <f>668750.79</f>
        <v>668750.79</v>
      </c>
      <c r="H19" s="48">
        <f>600000</f>
        <v>600000</v>
      </c>
      <c r="I19" s="48">
        <f>525784.1</f>
        <v>525784.1</v>
      </c>
      <c r="J19" s="48">
        <f>600000</f>
        <v>600000</v>
      </c>
      <c r="K19" s="48">
        <f>600000</f>
        <v>600000</v>
      </c>
      <c r="L19" s="48">
        <f>28580</f>
        <v>28580</v>
      </c>
      <c r="M19" s="49">
        <f t="shared" si="1"/>
        <v>4.7633333333333333E-2</v>
      </c>
      <c r="N19" s="50">
        <f t="shared" si="2"/>
        <v>4.7633333333333333E-2</v>
      </c>
      <c r="O19" s="48">
        <f>600000</f>
        <v>600000</v>
      </c>
      <c r="P19" s="48">
        <f>600000</f>
        <v>600000</v>
      </c>
      <c r="Q19" s="48">
        <f>500000</f>
        <v>500000</v>
      </c>
      <c r="R19" s="48">
        <f>500000</f>
        <v>500000</v>
      </c>
      <c r="S19" s="43">
        <f t="shared" si="3"/>
        <v>2.0440320133015053</v>
      </c>
      <c r="T19" s="43">
        <f t="shared" si="4"/>
        <v>-0.21378171381300359</v>
      </c>
      <c r="U19" s="43">
        <f t="shared" si="5"/>
        <v>0.14115280397410279</v>
      </c>
      <c r="V19" s="43">
        <f t="shared" si="6"/>
        <v>0</v>
      </c>
      <c r="W19" s="43">
        <f t="shared" si="7"/>
        <v>0</v>
      </c>
      <c r="X19" s="43">
        <f t="shared" si="7"/>
        <v>-0.16666666666666663</v>
      </c>
      <c r="Y19" s="43">
        <f t="shared" si="7"/>
        <v>0</v>
      </c>
    </row>
    <row r="20" spans="1:25">
      <c r="A20" s="44" t="s">
        <v>41</v>
      </c>
      <c r="B20" s="45">
        <v>1</v>
      </c>
      <c r="C20" s="45"/>
      <c r="D20" s="46"/>
      <c r="E20" s="51" t="s">
        <v>42</v>
      </c>
      <c r="F20" s="48">
        <f>2016949.23</f>
        <v>2016949.23</v>
      </c>
      <c r="G20" s="48">
        <f>4349688.41</f>
        <v>4349688.41</v>
      </c>
      <c r="H20" s="48">
        <f>3533697.57</f>
        <v>3533697.57</v>
      </c>
      <c r="I20" s="48">
        <f>1530296.11</f>
        <v>1530296.11</v>
      </c>
      <c r="J20" s="48">
        <f>2710069.28</f>
        <v>2710069.28</v>
      </c>
      <c r="K20" s="48">
        <f>2710069.28</f>
        <v>2710069.28</v>
      </c>
      <c r="L20" s="48">
        <f>0</f>
        <v>0</v>
      </c>
      <c r="M20" s="49">
        <f t="shared" si="1"/>
        <v>0</v>
      </c>
      <c r="N20" s="50">
        <f t="shared" si="2"/>
        <v>0</v>
      </c>
      <c r="O20" s="48">
        <f>8606349.96</f>
        <v>8606349.9600000009</v>
      </c>
      <c r="P20" s="48">
        <f>4108935.87</f>
        <v>4108935.87</v>
      </c>
      <c r="Q20" s="48">
        <f>4749919.15</f>
        <v>4749919.1500000004</v>
      </c>
      <c r="R20" s="48">
        <f>3230552.69</f>
        <v>3230552.69</v>
      </c>
      <c r="S20" s="43">
        <f t="shared" si="3"/>
        <v>1.1565681204578464</v>
      </c>
      <c r="T20" s="43">
        <f t="shared" si="4"/>
        <v>-0.64818259016396995</v>
      </c>
      <c r="U20" s="43">
        <f t="shared" si="5"/>
        <v>0.77094436971417224</v>
      </c>
      <c r="V20" s="43">
        <f t="shared" si="6"/>
        <v>2.1756937077269116</v>
      </c>
      <c r="W20" s="43">
        <f t="shared" si="7"/>
        <v>-0.52256927860274938</v>
      </c>
      <c r="X20" s="43">
        <f t="shared" si="7"/>
        <v>0.15599739209363728</v>
      </c>
      <c r="Y20" s="43">
        <f t="shared" si="7"/>
        <v>-0.31987206771719479</v>
      </c>
    </row>
    <row r="21" spans="1:25">
      <c r="A21" s="53">
        <v>2</v>
      </c>
      <c r="B21" s="54">
        <v>1</v>
      </c>
      <c r="C21" s="54" t="s">
        <v>21</v>
      </c>
      <c r="D21" s="55"/>
      <c r="E21" s="56" t="s">
        <v>43</v>
      </c>
      <c r="F21" s="42">
        <f>30727276.21</f>
        <v>30727276.210000001</v>
      </c>
      <c r="G21" s="42">
        <f>32899701.66</f>
        <v>32899701.66</v>
      </c>
      <c r="H21" s="42">
        <f>38277952.33</f>
        <v>38277952.329999998</v>
      </c>
      <c r="I21" s="42">
        <f>29899206.57</f>
        <v>29899206.57</v>
      </c>
      <c r="J21" s="42">
        <f>42124451.16</f>
        <v>42124451.159999996</v>
      </c>
      <c r="K21" s="42">
        <f>42120585.16</f>
        <v>42120585.159999996</v>
      </c>
      <c r="L21" s="42">
        <f>19516824.53</f>
        <v>19516824.530000001</v>
      </c>
      <c r="M21" s="57">
        <f t="shared" si="1"/>
        <v>0.46331344367834854</v>
      </c>
      <c r="N21" s="41">
        <f t="shared" si="2"/>
        <v>0.46335596848579019</v>
      </c>
      <c r="O21" s="42">
        <f>38107688.18</f>
        <v>38107688.18</v>
      </c>
      <c r="P21" s="42">
        <f>32591037.47</f>
        <v>32591037.469999999</v>
      </c>
      <c r="Q21" s="42">
        <f>35634853.77</f>
        <v>35634853.770000003</v>
      </c>
      <c r="R21" s="42">
        <f>35446177.24</f>
        <v>35446177.240000002</v>
      </c>
      <c r="S21" s="43">
        <f t="shared" si="3"/>
        <v>7.070022852507174E-2</v>
      </c>
      <c r="T21" s="43">
        <f t="shared" si="4"/>
        <v>-9.1201285683634392E-2</v>
      </c>
      <c r="U21" s="43">
        <f t="shared" si="5"/>
        <v>0.40888190666124413</v>
      </c>
      <c r="V21" s="43">
        <f t="shared" si="6"/>
        <v>-9.5354666218516404E-2</v>
      </c>
      <c r="W21" s="43">
        <f t="shared" si="7"/>
        <v>-0.1447647698790423</v>
      </c>
      <c r="X21" s="43">
        <f t="shared" si="7"/>
        <v>9.3394274508807218E-2</v>
      </c>
      <c r="Y21" s="43">
        <f t="shared" si="7"/>
        <v>-5.2947187946325025E-3</v>
      </c>
    </row>
    <row r="22" spans="1:25">
      <c r="A22" s="44" t="s">
        <v>44</v>
      </c>
      <c r="B22" s="45">
        <v>1</v>
      </c>
      <c r="C22" s="45" t="s">
        <v>21</v>
      </c>
      <c r="D22" s="46"/>
      <c r="E22" s="47" t="s">
        <v>45</v>
      </c>
      <c r="F22" s="48">
        <f>+F21-F30</f>
        <v>25904072.190000001</v>
      </c>
      <c r="G22" s="48">
        <f>+G21-G30</f>
        <v>27266098.780000001</v>
      </c>
      <c r="H22" s="48">
        <f>+H21-H30</f>
        <v>27923454.210000001</v>
      </c>
      <c r="I22" s="48">
        <f>+I21-I30</f>
        <v>27324340.77</v>
      </c>
      <c r="J22" s="48">
        <f>32109572.12</f>
        <v>32109572.120000001</v>
      </c>
      <c r="K22" s="48">
        <f>+K21-K30</f>
        <v>32105706.119999997</v>
      </c>
      <c r="L22" s="48">
        <f>+L21-L30</f>
        <v>15990177.150000002</v>
      </c>
      <c r="M22" s="49">
        <f t="shared" si="1"/>
        <v>0.49798786138418344</v>
      </c>
      <c r="N22" s="50">
        <f t="shared" si="2"/>
        <v>0.49804782645908063</v>
      </c>
      <c r="O22" s="48">
        <f>25785639.92</f>
        <v>25785639.920000002</v>
      </c>
      <c r="P22" s="48">
        <f>27318684.69</f>
        <v>27318684.690000001</v>
      </c>
      <c r="Q22" s="48">
        <f>27850653.25</f>
        <v>27850653.25</v>
      </c>
      <c r="R22" s="48">
        <f>30635900.12</f>
        <v>30635900.120000001</v>
      </c>
      <c r="S22" s="43">
        <f t="shared" si="3"/>
        <v>5.2579632268234588E-2</v>
      </c>
      <c r="T22" s="43">
        <f t="shared" si="4"/>
        <v>2.1360587911725126E-3</v>
      </c>
      <c r="U22" s="43">
        <f t="shared" si="5"/>
        <v>0.17512705577343013</v>
      </c>
      <c r="V22" s="43">
        <f t="shared" si="6"/>
        <v>-0.19694850421444976</v>
      </c>
      <c r="W22" s="43">
        <f t="shared" si="7"/>
        <v>5.9453431241430321E-2</v>
      </c>
      <c r="X22" s="43">
        <f t="shared" si="7"/>
        <v>1.9472700316158553E-2</v>
      </c>
      <c r="Y22" s="43">
        <f t="shared" si="7"/>
        <v>0.10000651851855569</v>
      </c>
    </row>
    <row r="23" spans="1:25">
      <c r="A23" s="44" t="s">
        <v>46</v>
      </c>
      <c r="B23" s="45">
        <v>1</v>
      </c>
      <c r="C23" s="45" t="s">
        <v>21</v>
      </c>
      <c r="D23" s="46"/>
      <c r="E23" s="51" t="s">
        <v>47</v>
      </c>
      <c r="F23" s="48">
        <f>0</f>
        <v>0</v>
      </c>
      <c r="G23" s="48">
        <f>0</f>
        <v>0</v>
      </c>
      <c r="H23" s="48">
        <f>32089.61</f>
        <v>32089.61</v>
      </c>
      <c r="I23" s="48">
        <f>0</f>
        <v>0</v>
      </c>
      <c r="J23" s="48">
        <f>0</f>
        <v>0</v>
      </c>
      <c r="K23" s="48">
        <f>0</f>
        <v>0</v>
      </c>
      <c r="L23" s="48">
        <f>0</f>
        <v>0</v>
      </c>
      <c r="M23" s="49">
        <f t="shared" si="1"/>
        <v>0</v>
      </c>
      <c r="N23" s="50">
        <f t="shared" si="2"/>
        <v>0</v>
      </c>
      <c r="O23" s="48">
        <f>0</f>
        <v>0</v>
      </c>
      <c r="P23" s="48">
        <f>0</f>
        <v>0</v>
      </c>
      <c r="Q23" s="48">
        <f>0</f>
        <v>0</v>
      </c>
      <c r="R23" s="48">
        <f>0</f>
        <v>0</v>
      </c>
      <c r="S23" s="43" t="str">
        <f t="shared" si="3"/>
        <v/>
      </c>
      <c r="T23" s="43" t="str">
        <f t="shared" si="4"/>
        <v/>
      </c>
      <c r="U23" s="43" t="str">
        <f t="shared" si="5"/>
        <v/>
      </c>
      <c r="V23" s="43" t="str">
        <f t="shared" si="6"/>
        <v/>
      </c>
      <c r="W23" s="43" t="str">
        <f t="shared" si="7"/>
        <v/>
      </c>
      <c r="X23" s="43" t="str">
        <f t="shared" si="7"/>
        <v/>
      </c>
      <c r="Y23" s="43" t="str">
        <f t="shared" si="7"/>
        <v/>
      </c>
    </row>
    <row r="24" spans="1:25" ht="24">
      <c r="A24" s="44" t="s">
        <v>48</v>
      </c>
      <c r="B24" s="45">
        <v>0</v>
      </c>
      <c r="C24" s="45" t="s">
        <v>21</v>
      </c>
      <c r="D24" s="46"/>
      <c r="E24" s="52" t="s">
        <v>49</v>
      </c>
      <c r="F24" s="58" t="s">
        <v>21</v>
      </c>
      <c r="G24" s="58" t="s">
        <v>21</v>
      </c>
      <c r="H24" s="58" t="s">
        <v>21</v>
      </c>
      <c r="I24" s="58" t="s">
        <v>21</v>
      </c>
      <c r="J24" s="48">
        <f>0</f>
        <v>0</v>
      </c>
      <c r="K24" s="58" t="s">
        <v>21</v>
      </c>
      <c r="L24" s="58" t="s">
        <v>21</v>
      </c>
      <c r="M24" s="59" t="s">
        <v>21</v>
      </c>
      <c r="N24" s="58" t="s">
        <v>21</v>
      </c>
      <c r="O24" s="48">
        <f>0</f>
        <v>0</v>
      </c>
      <c r="P24" s="48">
        <f>0</f>
        <v>0</v>
      </c>
      <c r="Q24" s="48">
        <f>0</f>
        <v>0</v>
      </c>
      <c r="R24" s="48">
        <f>0</f>
        <v>0</v>
      </c>
      <c r="S24" s="58" t="s">
        <v>21</v>
      </c>
      <c r="T24" s="58" t="s">
        <v>21</v>
      </c>
      <c r="U24" s="58" t="s">
        <v>21</v>
      </c>
      <c r="V24" s="58" t="s">
        <v>21</v>
      </c>
      <c r="W24" s="58" t="s">
        <v>21</v>
      </c>
      <c r="X24" s="58" t="s">
        <v>21</v>
      </c>
      <c r="Y24" s="58" t="s">
        <v>21</v>
      </c>
    </row>
    <row r="25" spans="1:25" ht="48">
      <c r="A25" s="44" t="s">
        <v>50</v>
      </c>
      <c r="B25" s="45">
        <v>1</v>
      </c>
      <c r="C25" s="45"/>
      <c r="D25" s="46"/>
      <c r="E25" s="51" t="s">
        <v>51</v>
      </c>
      <c r="F25" s="58" t="s">
        <v>21</v>
      </c>
      <c r="G25" s="58" t="s">
        <v>21</v>
      </c>
      <c r="H25" s="58" t="s">
        <v>21</v>
      </c>
      <c r="I25" s="58" t="s">
        <v>21</v>
      </c>
      <c r="J25" s="48">
        <f>0</f>
        <v>0</v>
      </c>
      <c r="K25" s="48">
        <f>0</f>
        <v>0</v>
      </c>
      <c r="L25" s="48">
        <f>0</f>
        <v>0</v>
      </c>
      <c r="M25" s="59" t="s">
        <v>21</v>
      </c>
      <c r="N25" s="58" t="s">
        <v>21</v>
      </c>
      <c r="O25" s="48">
        <f>0</f>
        <v>0</v>
      </c>
      <c r="P25" s="48">
        <f>0</f>
        <v>0</v>
      </c>
      <c r="Q25" s="48">
        <f>0</f>
        <v>0</v>
      </c>
      <c r="R25" s="48">
        <f>0</f>
        <v>0</v>
      </c>
      <c r="S25" s="58" t="s">
        <v>21</v>
      </c>
      <c r="T25" s="58" t="s">
        <v>21</v>
      </c>
      <c r="U25" s="58" t="s">
        <v>21</v>
      </c>
      <c r="V25" s="58" t="s">
        <v>21</v>
      </c>
      <c r="W25" s="58" t="s">
        <v>21</v>
      </c>
      <c r="X25" s="58" t="s">
        <v>21</v>
      </c>
      <c r="Y25" s="58" t="s">
        <v>21</v>
      </c>
    </row>
    <row r="26" spans="1:25">
      <c r="A26" s="44" t="s">
        <v>52</v>
      </c>
      <c r="B26" s="45">
        <v>1</v>
      </c>
      <c r="C26" s="45" t="s">
        <v>21</v>
      </c>
      <c r="D26" s="46"/>
      <c r="E26" s="51" t="s">
        <v>53</v>
      </c>
      <c r="F26" s="48">
        <f>573927.21</f>
        <v>573927.21</v>
      </c>
      <c r="G26" s="48">
        <f>541055.64</f>
        <v>541055.64</v>
      </c>
      <c r="H26" s="48">
        <f>529744.84</f>
        <v>529744.84</v>
      </c>
      <c r="I26" s="48">
        <f>402982.65</f>
        <v>402982.65</v>
      </c>
      <c r="J26" s="48">
        <f>480000</f>
        <v>480000</v>
      </c>
      <c r="K26" s="48">
        <f>480000</f>
        <v>480000</v>
      </c>
      <c r="L26" s="48">
        <f>211220.73</f>
        <v>211220.73</v>
      </c>
      <c r="M26" s="49">
        <f t="shared" ref="M26:M42" si="8">+IF(J26&lt;&gt;0,L26/J26,0)</f>
        <v>0.44004318750000004</v>
      </c>
      <c r="N26" s="50">
        <f>+IF(K26&lt;&gt;0,L26/K26,0)</f>
        <v>0.44004318750000004</v>
      </c>
      <c r="O26" s="48">
        <f>467936.81</f>
        <v>467936.81</v>
      </c>
      <c r="P26" s="48">
        <f>408380.36</f>
        <v>408380.36</v>
      </c>
      <c r="Q26" s="48">
        <f>341825.89</f>
        <v>341825.89</v>
      </c>
      <c r="R26" s="48">
        <f>273042.96</f>
        <v>273042.96000000002</v>
      </c>
      <c r="S26" s="43">
        <f>+IF(F26&lt;&gt;0,G26/F26-1,"")</f>
        <v>-5.7274806678010548E-2</v>
      </c>
      <c r="T26" s="43">
        <f t="shared" ref="T26:T42" si="9">+IF(G26&lt;&gt;0,I26/G26-1,"")</f>
        <v>-0.25519185050912696</v>
      </c>
      <c r="U26" s="43">
        <f t="shared" ref="U26:U42" si="10">+IF(I26&lt;&gt;0,J26/I26-1,"")</f>
        <v>0.19111827767274847</v>
      </c>
      <c r="V26" s="43">
        <f t="shared" ref="V26:V42" si="11">+IF(J26&lt;&gt;0,O26/J26-1,"")</f>
        <v>-2.5131645833333383E-2</v>
      </c>
      <c r="W26" s="43">
        <f t="shared" ref="W26:Y42" si="12">+IF(O26&lt;&gt;0,P26/O26-1,"")</f>
        <v>-0.12727455657955189</v>
      </c>
      <c r="X26" s="43">
        <f t="shared" si="12"/>
        <v>-0.16297176974916217</v>
      </c>
      <c r="Y26" s="43">
        <f t="shared" si="12"/>
        <v>-0.20122211924907152</v>
      </c>
    </row>
    <row r="27" spans="1:25">
      <c r="A27" s="44" t="s">
        <v>54</v>
      </c>
      <c r="B27" s="45">
        <v>1</v>
      </c>
      <c r="C27" s="45" t="s">
        <v>21</v>
      </c>
      <c r="D27" s="46"/>
      <c r="E27" s="52" t="s">
        <v>55</v>
      </c>
      <c r="F27" s="48">
        <f>573927.21</f>
        <v>573927.21</v>
      </c>
      <c r="G27" s="48">
        <f>541055.64</f>
        <v>541055.64</v>
      </c>
      <c r="H27" s="48">
        <f>529744.84</f>
        <v>529744.84</v>
      </c>
      <c r="I27" s="48">
        <f>402982.65</f>
        <v>402982.65</v>
      </c>
      <c r="J27" s="48">
        <f>480000</f>
        <v>480000</v>
      </c>
      <c r="K27" s="48">
        <f>480000</f>
        <v>480000</v>
      </c>
      <c r="L27" s="48">
        <f>211220.73</f>
        <v>211220.73</v>
      </c>
      <c r="M27" s="49">
        <f t="shared" si="8"/>
        <v>0.44004318750000004</v>
      </c>
      <c r="N27" s="50">
        <f>+IF(K27&lt;&gt;0,L27/K27,0)</f>
        <v>0.44004318750000004</v>
      </c>
      <c r="O27" s="48">
        <f>467936.81</f>
        <v>467936.81</v>
      </c>
      <c r="P27" s="48">
        <f>408380.36</f>
        <v>408380.36</v>
      </c>
      <c r="Q27" s="48">
        <f>341825.89</f>
        <v>341825.89</v>
      </c>
      <c r="R27" s="48">
        <f>273042.96</f>
        <v>273042.96000000002</v>
      </c>
      <c r="S27" s="43">
        <f>+IF(F27&lt;&gt;0,G27/F27-1,"")</f>
        <v>-5.7274806678010548E-2</v>
      </c>
      <c r="T27" s="43">
        <f t="shared" si="9"/>
        <v>-0.25519185050912696</v>
      </c>
      <c r="U27" s="43">
        <f t="shared" si="10"/>
        <v>0.19111827767274847</v>
      </c>
      <c r="V27" s="43">
        <f t="shared" si="11"/>
        <v>-2.5131645833333383E-2</v>
      </c>
      <c r="W27" s="43">
        <f t="shared" si="12"/>
        <v>-0.12727455657955189</v>
      </c>
      <c r="X27" s="43">
        <f t="shared" si="12"/>
        <v>-0.16297176974916217</v>
      </c>
      <c r="Y27" s="43">
        <f t="shared" si="12"/>
        <v>-0.20122211924907152</v>
      </c>
    </row>
    <row r="28" spans="1:25" ht="48">
      <c r="A28" s="44" t="s">
        <v>56</v>
      </c>
      <c r="B28" s="45">
        <v>0</v>
      </c>
      <c r="C28" s="45" t="s">
        <v>21</v>
      </c>
      <c r="D28" s="46"/>
      <c r="E28" s="52" t="s">
        <v>57</v>
      </c>
      <c r="F28" s="58" t="s">
        <v>21</v>
      </c>
      <c r="G28" s="58" t="s">
        <v>21</v>
      </c>
      <c r="H28" s="58" t="s">
        <v>21</v>
      </c>
      <c r="I28" s="58" t="s">
        <v>21</v>
      </c>
      <c r="J28" s="48">
        <f>0</f>
        <v>0</v>
      </c>
      <c r="K28" s="58" t="s">
        <v>21</v>
      </c>
      <c r="L28" s="58" t="s">
        <v>21</v>
      </c>
      <c r="M28" s="59" t="s">
        <v>21</v>
      </c>
      <c r="N28" s="58" t="s">
        <v>21</v>
      </c>
      <c r="O28" s="48">
        <f>0</f>
        <v>0</v>
      </c>
      <c r="P28" s="48">
        <f>0</f>
        <v>0</v>
      </c>
      <c r="Q28" s="48">
        <f>0</f>
        <v>0</v>
      </c>
      <c r="R28" s="48">
        <f>0</f>
        <v>0</v>
      </c>
      <c r="S28" s="58" t="s">
        <v>21</v>
      </c>
      <c r="T28" s="58" t="s">
        <v>21</v>
      </c>
      <c r="U28" s="58" t="s">
        <v>21</v>
      </c>
      <c r="V28" s="58" t="s">
        <v>21</v>
      </c>
      <c r="W28" s="58" t="s">
        <v>21</v>
      </c>
      <c r="X28" s="58" t="s">
        <v>21</v>
      </c>
      <c r="Y28" s="58" t="s">
        <v>21</v>
      </c>
    </row>
    <row r="29" spans="1:25" ht="24">
      <c r="A29" s="44" t="s">
        <v>58</v>
      </c>
      <c r="B29" s="45">
        <v>0</v>
      </c>
      <c r="C29" s="45" t="s">
        <v>21</v>
      </c>
      <c r="D29" s="46"/>
      <c r="E29" s="52" t="s">
        <v>59</v>
      </c>
      <c r="F29" s="58" t="s">
        <v>21</v>
      </c>
      <c r="G29" s="58" t="s">
        <v>21</v>
      </c>
      <c r="H29" s="58" t="s">
        <v>21</v>
      </c>
      <c r="I29" s="58" t="s">
        <v>21</v>
      </c>
      <c r="J29" s="48">
        <f>0</f>
        <v>0</v>
      </c>
      <c r="K29" s="58" t="s">
        <v>21</v>
      </c>
      <c r="L29" s="58" t="s">
        <v>21</v>
      </c>
      <c r="M29" s="59" t="s">
        <v>21</v>
      </c>
      <c r="N29" s="58" t="s">
        <v>21</v>
      </c>
      <c r="O29" s="48">
        <f>0</f>
        <v>0</v>
      </c>
      <c r="P29" s="48">
        <f>0</f>
        <v>0</v>
      </c>
      <c r="Q29" s="48">
        <f>0</f>
        <v>0</v>
      </c>
      <c r="R29" s="48">
        <f>0</f>
        <v>0</v>
      </c>
      <c r="S29" s="58" t="s">
        <v>21</v>
      </c>
      <c r="T29" s="58" t="s">
        <v>21</v>
      </c>
      <c r="U29" s="58" t="s">
        <v>21</v>
      </c>
      <c r="V29" s="58" t="s">
        <v>21</v>
      </c>
      <c r="W29" s="58" t="s">
        <v>21</v>
      </c>
      <c r="X29" s="58" t="s">
        <v>21</v>
      </c>
      <c r="Y29" s="58" t="s">
        <v>21</v>
      </c>
    </row>
    <row r="30" spans="1:25">
      <c r="A30" s="44" t="s">
        <v>60</v>
      </c>
      <c r="B30" s="45">
        <v>1</v>
      </c>
      <c r="C30" s="45" t="s">
        <v>21</v>
      </c>
      <c r="D30" s="46"/>
      <c r="E30" s="47" t="s">
        <v>61</v>
      </c>
      <c r="F30" s="48">
        <f>4823204.02</f>
        <v>4823204.0199999996</v>
      </c>
      <c r="G30" s="48">
        <f>5633602.88</f>
        <v>5633602.8799999999</v>
      </c>
      <c r="H30" s="48">
        <f>10354498.12</f>
        <v>10354498.119999999</v>
      </c>
      <c r="I30" s="48">
        <f>2574865.8</f>
        <v>2574865.7999999998</v>
      </c>
      <c r="J30" s="48">
        <f>10014879.04</f>
        <v>10014879.039999999</v>
      </c>
      <c r="K30" s="48">
        <f>10014879.04</f>
        <v>10014879.039999999</v>
      </c>
      <c r="L30" s="48">
        <f>3526647.38</f>
        <v>3526647.38</v>
      </c>
      <c r="M30" s="49">
        <f t="shared" si="8"/>
        <v>0.35214078631547807</v>
      </c>
      <c r="N30" s="50">
        <f>+IF(K30&lt;&gt;0,L30/K30,0)</f>
        <v>0.35214078631547807</v>
      </c>
      <c r="O30" s="48">
        <f>12322048.26</f>
        <v>12322048.26</v>
      </c>
      <c r="P30" s="48">
        <f>5272352.78</f>
        <v>5272352.78</v>
      </c>
      <c r="Q30" s="48">
        <f>7784200.52</f>
        <v>7784200.5199999996</v>
      </c>
      <c r="R30" s="48">
        <f>4810277.12</f>
        <v>4810277.12</v>
      </c>
      <c r="S30" s="43">
        <f>+IF(F30&lt;&gt;0,G30/F30-1,"")</f>
        <v>0.16802085431998792</v>
      </c>
      <c r="T30" s="43">
        <f t="shared" si="9"/>
        <v>-0.54294510017007092</v>
      </c>
      <c r="U30" s="43">
        <f t="shared" si="10"/>
        <v>2.8894761194932954</v>
      </c>
      <c r="V30" s="43">
        <f t="shared" si="11"/>
        <v>0.23037414738460993</v>
      </c>
      <c r="W30" s="43">
        <f t="shared" si="12"/>
        <v>-0.5721204244009348</v>
      </c>
      <c r="X30" s="43">
        <f t="shared" si="12"/>
        <v>0.47641875360244756</v>
      </c>
      <c r="Y30" s="43">
        <f t="shared" si="12"/>
        <v>-0.38204609354025221</v>
      </c>
    </row>
    <row r="31" spans="1:25">
      <c r="A31" s="53">
        <v>3</v>
      </c>
      <c r="B31" s="54">
        <v>1</v>
      </c>
      <c r="C31" s="54" t="s">
        <v>21</v>
      </c>
      <c r="D31" s="55"/>
      <c r="E31" s="56" t="s">
        <v>62</v>
      </c>
      <c r="F31" s="42">
        <f>+F10-F21</f>
        <v>310048.1799999997</v>
      </c>
      <c r="G31" s="42">
        <f>+G10-G21</f>
        <v>1924131.2300000004</v>
      </c>
      <c r="H31" s="42">
        <f>+H10-H21</f>
        <v>-4819219.3899999969</v>
      </c>
      <c r="I31" s="42">
        <f>+I10-I21</f>
        <v>1341258.4800000004</v>
      </c>
      <c r="J31" s="42">
        <f>-5713667.15</f>
        <v>-5713667.1500000004</v>
      </c>
      <c r="K31" s="42">
        <f>+K10-K21</f>
        <v>-5713667.1499999985</v>
      </c>
      <c r="L31" s="42">
        <f>+L10-L21</f>
        <v>-1692303.870000001</v>
      </c>
      <c r="M31" s="57">
        <f t="shared" si="8"/>
        <v>0.29618523893188298</v>
      </c>
      <c r="N31" s="41">
        <f>+IF(K31&lt;&gt;0,L31/K31,0)</f>
        <v>0.29618523893188309</v>
      </c>
      <c r="O31" s="42">
        <f>1546810.8</f>
        <v>1546810.8</v>
      </c>
      <c r="P31" s="42">
        <f>1663504.58</f>
        <v>1663504.58</v>
      </c>
      <c r="Q31" s="42">
        <f>1812207.13</f>
        <v>1812207.13</v>
      </c>
      <c r="R31" s="42">
        <f>1807700.56</f>
        <v>1807700.56</v>
      </c>
      <c r="S31" s="43">
        <f>+IF(F31&lt;&gt;0,G31/F31-1,"")</f>
        <v>5.2059104168906982</v>
      </c>
      <c r="T31" s="43">
        <f t="shared" si="9"/>
        <v>-0.30292775300986086</v>
      </c>
      <c r="U31" s="43">
        <f t="shared" si="10"/>
        <v>-5.2599299353544433</v>
      </c>
      <c r="V31" s="43">
        <f t="shared" si="11"/>
        <v>-1.2707211952309823</v>
      </c>
      <c r="W31" s="43">
        <f t="shared" si="12"/>
        <v>7.544153428460687E-2</v>
      </c>
      <c r="X31" s="43">
        <f t="shared" si="12"/>
        <v>8.9391127495422884E-2</v>
      </c>
      <c r="Y31" s="43">
        <f t="shared" si="12"/>
        <v>-2.4867852716150551E-3</v>
      </c>
    </row>
    <row r="32" spans="1:25">
      <c r="A32" s="53">
        <v>4</v>
      </c>
      <c r="B32" s="54">
        <v>1</v>
      </c>
      <c r="C32" s="54" t="s">
        <v>21</v>
      </c>
      <c r="D32" s="55"/>
      <c r="E32" s="56" t="s">
        <v>63</v>
      </c>
      <c r="F32" s="42"/>
      <c r="G32" s="42"/>
      <c r="H32" s="42"/>
      <c r="I32" s="42"/>
      <c r="J32" s="42">
        <f>7160477.87</f>
        <v>7160477.8700000001</v>
      </c>
      <c r="K32" s="42">
        <f>7160477.87</f>
        <v>7160477.8700000001</v>
      </c>
      <c r="L32" s="42">
        <f>6160477.87</f>
        <v>6160477.8700000001</v>
      </c>
      <c r="M32" s="57">
        <f t="shared" si="8"/>
        <v>0.86034451636396159</v>
      </c>
      <c r="N32" s="41">
        <f>+IF(K32&lt;&gt;0,L32/K32,0)</f>
        <v>0.86034451636396159</v>
      </c>
      <c r="O32" s="42">
        <f>0</f>
        <v>0</v>
      </c>
      <c r="P32" s="42">
        <f>0</f>
        <v>0</v>
      </c>
      <c r="Q32" s="42">
        <f>0</f>
        <v>0</v>
      </c>
      <c r="R32" s="42">
        <f>0</f>
        <v>0</v>
      </c>
      <c r="S32" s="43" t="str">
        <f>+IF(F32&lt;&gt;0,G32/F32-1,"")</f>
        <v/>
      </c>
      <c r="T32" s="43" t="str">
        <f t="shared" si="9"/>
        <v/>
      </c>
      <c r="U32" s="43" t="str">
        <f t="shared" si="10"/>
        <v/>
      </c>
      <c r="V32" s="43">
        <f t="shared" si="11"/>
        <v>-1</v>
      </c>
      <c r="W32" s="43" t="str">
        <f t="shared" si="12"/>
        <v/>
      </c>
      <c r="X32" s="43" t="str">
        <f t="shared" si="12"/>
        <v/>
      </c>
      <c r="Y32" s="43" t="str">
        <f t="shared" si="12"/>
        <v/>
      </c>
    </row>
    <row r="33" spans="1:25">
      <c r="A33" s="44" t="s">
        <v>64</v>
      </c>
      <c r="B33" s="45">
        <v>1</v>
      </c>
      <c r="C33" s="45" t="s">
        <v>21</v>
      </c>
      <c r="D33" s="46"/>
      <c r="E33" s="47" t="s">
        <v>65</v>
      </c>
      <c r="F33" s="48"/>
      <c r="G33" s="48"/>
      <c r="H33" s="48"/>
      <c r="I33" s="48"/>
      <c r="J33" s="48">
        <f>0</f>
        <v>0</v>
      </c>
      <c r="K33" s="48">
        <f>0</f>
        <v>0</v>
      </c>
      <c r="L33" s="48">
        <f>0</f>
        <v>0</v>
      </c>
      <c r="M33" s="49">
        <f t="shared" si="8"/>
        <v>0</v>
      </c>
      <c r="N33" s="50">
        <f>+IF(K33&lt;&gt;0,L33/K33,0)</f>
        <v>0</v>
      </c>
      <c r="O33" s="48">
        <f>0</f>
        <v>0</v>
      </c>
      <c r="P33" s="48">
        <f>0</f>
        <v>0</v>
      </c>
      <c r="Q33" s="48">
        <f>0</f>
        <v>0</v>
      </c>
      <c r="R33" s="48">
        <f>0</f>
        <v>0</v>
      </c>
      <c r="S33" s="43" t="str">
        <f>+IF(F33&lt;&gt;0,G33/F33-1,"")</f>
        <v/>
      </c>
      <c r="T33" s="43" t="str">
        <f t="shared" si="9"/>
        <v/>
      </c>
      <c r="U33" s="43" t="str">
        <f t="shared" si="10"/>
        <v/>
      </c>
      <c r="V33" s="43" t="str">
        <f t="shared" si="11"/>
        <v/>
      </c>
      <c r="W33" s="43" t="str">
        <f t="shared" si="12"/>
        <v/>
      </c>
      <c r="X33" s="43" t="str">
        <f t="shared" si="12"/>
        <v/>
      </c>
      <c r="Y33" s="43" t="str">
        <f t="shared" si="12"/>
        <v/>
      </c>
    </row>
    <row r="34" spans="1:25">
      <c r="A34" s="44" t="s">
        <v>66</v>
      </c>
      <c r="B34" s="45">
        <v>1</v>
      </c>
      <c r="C34" s="45" t="s">
        <v>21</v>
      </c>
      <c r="D34" s="46"/>
      <c r="E34" s="51" t="s">
        <v>67</v>
      </c>
      <c r="F34" s="58" t="s">
        <v>21</v>
      </c>
      <c r="G34" s="58" t="s">
        <v>21</v>
      </c>
      <c r="H34" s="58" t="s">
        <v>21</v>
      </c>
      <c r="I34" s="58" t="s">
        <v>21</v>
      </c>
      <c r="J34" s="48">
        <f>0</f>
        <v>0</v>
      </c>
      <c r="K34" s="48">
        <f>0</f>
        <v>0</v>
      </c>
      <c r="L34" s="48">
        <f>0</f>
        <v>0</v>
      </c>
      <c r="M34" s="59" t="s">
        <v>21</v>
      </c>
      <c r="N34" s="58" t="s">
        <v>21</v>
      </c>
      <c r="O34" s="48">
        <f>0</f>
        <v>0</v>
      </c>
      <c r="P34" s="48">
        <f>0</f>
        <v>0</v>
      </c>
      <c r="Q34" s="48">
        <f>0</f>
        <v>0</v>
      </c>
      <c r="R34" s="48">
        <f>0</f>
        <v>0</v>
      </c>
      <c r="S34" s="58" t="s">
        <v>21</v>
      </c>
      <c r="T34" s="58" t="s">
        <v>21</v>
      </c>
      <c r="U34" s="58" t="s">
        <v>21</v>
      </c>
      <c r="V34" s="58" t="s">
        <v>21</v>
      </c>
      <c r="W34" s="58" t="s">
        <v>21</v>
      </c>
      <c r="X34" s="58" t="s">
        <v>21</v>
      </c>
      <c r="Y34" s="58" t="s">
        <v>21</v>
      </c>
    </row>
    <row r="35" spans="1:25">
      <c r="A35" s="44" t="s">
        <v>68</v>
      </c>
      <c r="B35" s="45">
        <v>1</v>
      </c>
      <c r="C35" s="45" t="s">
        <v>21</v>
      </c>
      <c r="D35" s="46"/>
      <c r="E35" s="47" t="s">
        <v>69</v>
      </c>
      <c r="F35" s="48"/>
      <c r="G35" s="48"/>
      <c r="H35" s="48"/>
      <c r="I35" s="48"/>
      <c r="J35" s="48">
        <f>6160477.87</f>
        <v>6160477.8700000001</v>
      </c>
      <c r="K35" s="48">
        <f>6160477.87</f>
        <v>6160477.8700000001</v>
      </c>
      <c r="L35" s="48">
        <f>6160477.87</f>
        <v>6160477.8700000001</v>
      </c>
      <c r="M35" s="49">
        <f t="shared" si="8"/>
        <v>1</v>
      </c>
      <c r="N35" s="50">
        <f>+IF(K35&lt;&gt;0,L35/K35,0)</f>
        <v>1</v>
      </c>
      <c r="O35" s="48">
        <f>0</f>
        <v>0</v>
      </c>
      <c r="P35" s="48">
        <f>0</f>
        <v>0</v>
      </c>
      <c r="Q35" s="48">
        <f>0</f>
        <v>0</v>
      </c>
      <c r="R35" s="48">
        <f>0</f>
        <v>0</v>
      </c>
      <c r="S35" s="43" t="str">
        <f>+IF(F35&lt;&gt;0,G35/F35-1,"")</f>
        <v/>
      </c>
      <c r="T35" s="43" t="str">
        <f t="shared" si="9"/>
        <v/>
      </c>
      <c r="U35" s="43" t="str">
        <f t="shared" si="10"/>
        <v/>
      </c>
      <c r="V35" s="43">
        <f t="shared" si="11"/>
        <v>-1</v>
      </c>
      <c r="W35" s="43" t="str">
        <f t="shared" si="12"/>
        <v/>
      </c>
      <c r="X35" s="43" t="str">
        <f t="shared" si="12"/>
        <v/>
      </c>
      <c r="Y35" s="43" t="str">
        <f t="shared" si="12"/>
        <v/>
      </c>
    </row>
    <row r="36" spans="1:25">
      <c r="A36" s="44" t="s">
        <v>70</v>
      </c>
      <c r="B36" s="45">
        <v>1</v>
      </c>
      <c r="C36" s="45" t="s">
        <v>21</v>
      </c>
      <c r="D36" s="46"/>
      <c r="E36" s="51" t="s">
        <v>71</v>
      </c>
      <c r="F36" s="58" t="s">
        <v>21</v>
      </c>
      <c r="G36" s="58" t="s">
        <v>21</v>
      </c>
      <c r="H36" s="58" t="s">
        <v>21</v>
      </c>
      <c r="I36" s="58" t="s">
        <v>21</v>
      </c>
      <c r="J36" s="48">
        <f>5713667.15</f>
        <v>5713667.1500000004</v>
      </c>
      <c r="K36" s="48">
        <f>5713667.15</f>
        <v>5713667.1500000004</v>
      </c>
      <c r="L36" s="48">
        <f>0</f>
        <v>0</v>
      </c>
      <c r="M36" s="59" t="s">
        <v>21</v>
      </c>
      <c r="N36" s="58" t="s">
        <v>21</v>
      </c>
      <c r="O36" s="48">
        <f>0</f>
        <v>0</v>
      </c>
      <c r="P36" s="48">
        <f>0</f>
        <v>0</v>
      </c>
      <c r="Q36" s="48">
        <f>0</f>
        <v>0</v>
      </c>
      <c r="R36" s="48">
        <f>0</f>
        <v>0</v>
      </c>
      <c r="S36" s="58" t="s">
        <v>21</v>
      </c>
      <c r="T36" s="58" t="s">
        <v>21</v>
      </c>
      <c r="U36" s="58" t="s">
        <v>21</v>
      </c>
      <c r="V36" s="58" t="s">
        <v>21</v>
      </c>
      <c r="W36" s="58" t="s">
        <v>21</v>
      </c>
      <c r="X36" s="58" t="s">
        <v>21</v>
      </c>
      <c r="Y36" s="58" t="s">
        <v>21</v>
      </c>
    </row>
    <row r="37" spans="1:25">
      <c r="A37" s="44" t="s">
        <v>72</v>
      </c>
      <c r="B37" s="45">
        <v>1</v>
      </c>
      <c r="C37" s="45" t="s">
        <v>21</v>
      </c>
      <c r="D37" s="46"/>
      <c r="E37" s="47" t="s">
        <v>73</v>
      </c>
      <c r="F37" s="48"/>
      <c r="G37" s="48"/>
      <c r="H37" s="48"/>
      <c r="I37" s="48"/>
      <c r="J37" s="48">
        <f>1000000</f>
        <v>1000000</v>
      </c>
      <c r="K37" s="48">
        <f>1000000+0</f>
        <v>1000000</v>
      </c>
      <c r="L37" s="48">
        <f>0+0</f>
        <v>0</v>
      </c>
      <c r="M37" s="49">
        <f t="shared" si="8"/>
        <v>0</v>
      </c>
      <c r="N37" s="50">
        <f>+IF(K37&lt;&gt;0,L37/K37,0)</f>
        <v>0</v>
      </c>
      <c r="O37" s="48">
        <f>0</f>
        <v>0</v>
      </c>
      <c r="P37" s="48">
        <f>0</f>
        <v>0</v>
      </c>
      <c r="Q37" s="48">
        <f>0</f>
        <v>0</v>
      </c>
      <c r="R37" s="48">
        <f>0</f>
        <v>0</v>
      </c>
      <c r="S37" s="43" t="str">
        <f>+IF(F37&lt;&gt;0,G37/F37-1,"")</f>
        <v/>
      </c>
      <c r="T37" s="43" t="str">
        <f t="shared" si="9"/>
        <v/>
      </c>
      <c r="U37" s="43" t="str">
        <f t="shared" si="10"/>
        <v/>
      </c>
      <c r="V37" s="43">
        <f t="shared" si="11"/>
        <v>-1</v>
      </c>
      <c r="W37" s="43" t="str">
        <f t="shared" si="12"/>
        <v/>
      </c>
      <c r="X37" s="43" t="str">
        <f t="shared" si="12"/>
        <v/>
      </c>
      <c r="Y37" s="43" t="str">
        <f t="shared" si="12"/>
        <v/>
      </c>
    </row>
    <row r="38" spans="1:25">
      <c r="A38" s="44" t="s">
        <v>74</v>
      </c>
      <c r="B38" s="45">
        <v>1</v>
      </c>
      <c r="C38" s="45" t="s">
        <v>21</v>
      </c>
      <c r="D38" s="46"/>
      <c r="E38" s="51" t="s">
        <v>71</v>
      </c>
      <c r="F38" s="58" t="s">
        <v>21</v>
      </c>
      <c r="G38" s="58" t="s">
        <v>21</v>
      </c>
      <c r="H38" s="58" t="s">
        <v>21</v>
      </c>
      <c r="I38" s="58" t="s">
        <v>21</v>
      </c>
      <c r="J38" s="48">
        <f>0</f>
        <v>0</v>
      </c>
      <c r="K38" s="48">
        <f>0+0</f>
        <v>0</v>
      </c>
      <c r="L38" s="48">
        <f>0+0</f>
        <v>0</v>
      </c>
      <c r="M38" s="59" t="s">
        <v>21</v>
      </c>
      <c r="N38" s="58" t="s">
        <v>21</v>
      </c>
      <c r="O38" s="48">
        <f>0</f>
        <v>0</v>
      </c>
      <c r="P38" s="48">
        <f>0</f>
        <v>0</v>
      </c>
      <c r="Q38" s="48">
        <f>0</f>
        <v>0</v>
      </c>
      <c r="R38" s="48">
        <f>0</f>
        <v>0</v>
      </c>
      <c r="S38" s="58" t="s">
        <v>21</v>
      </c>
      <c r="T38" s="58" t="s">
        <v>21</v>
      </c>
      <c r="U38" s="58" t="s">
        <v>21</v>
      </c>
      <c r="V38" s="58" t="s">
        <v>21</v>
      </c>
      <c r="W38" s="58" t="s">
        <v>21</v>
      </c>
      <c r="X38" s="58" t="s">
        <v>21</v>
      </c>
      <c r="Y38" s="58" t="s">
        <v>21</v>
      </c>
    </row>
    <row r="39" spans="1:25">
      <c r="A39" s="44" t="s">
        <v>75</v>
      </c>
      <c r="B39" s="45">
        <v>1</v>
      </c>
      <c r="C39" s="45" t="s">
        <v>21</v>
      </c>
      <c r="D39" s="46"/>
      <c r="E39" s="47" t="s">
        <v>76</v>
      </c>
      <c r="F39" s="48"/>
      <c r="G39" s="48"/>
      <c r="H39" s="48"/>
      <c r="I39" s="48"/>
      <c r="J39" s="48">
        <f>0</f>
        <v>0</v>
      </c>
      <c r="K39" s="48">
        <f>0+0+0</f>
        <v>0</v>
      </c>
      <c r="L39" s="48">
        <f>0+0+0</f>
        <v>0</v>
      </c>
      <c r="M39" s="49">
        <f t="shared" si="8"/>
        <v>0</v>
      </c>
      <c r="N39" s="50">
        <f>+IF(K39&lt;&gt;0,L39/K39,0)</f>
        <v>0</v>
      </c>
      <c r="O39" s="48">
        <f>0</f>
        <v>0</v>
      </c>
      <c r="P39" s="48">
        <f>0</f>
        <v>0</v>
      </c>
      <c r="Q39" s="48">
        <f>0</f>
        <v>0</v>
      </c>
      <c r="R39" s="48">
        <f>0</f>
        <v>0</v>
      </c>
      <c r="S39" s="43" t="str">
        <f>+IF(F39&lt;&gt;0,G39/F39-1,"")</f>
        <v/>
      </c>
      <c r="T39" s="43" t="str">
        <f t="shared" si="9"/>
        <v/>
      </c>
      <c r="U39" s="43" t="str">
        <f t="shared" si="10"/>
        <v/>
      </c>
      <c r="V39" s="43" t="str">
        <f t="shared" si="11"/>
        <v/>
      </c>
      <c r="W39" s="43" t="str">
        <f t="shared" si="12"/>
        <v/>
      </c>
      <c r="X39" s="43" t="str">
        <f t="shared" si="12"/>
        <v/>
      </c>
      <c r="Y39" s="43" t="str">
        <f t="shared" si="12"/>
        <v/>
      </c>
    </row>
    <row r="40" spans="1:25">
      <c r="A40" s="44" t="s">
        <v>77</v>
      </c>
      <c r="B40" s="45">
        <v>1</v>
      </c>
      <c r="C40" s="45" t="s">
        <v>21</v>
      </c>
      <c r="D40" s="46"/>
      <c r="E40" s="51" t="s">
        <v>71</v>
      </c>
      <c r="F40" s="58" t="s">
        <v>21</v>
      </c>
      <c r="G40" s="58" t="s">
        <v>21</v>
      </c>
      <c r="H40" s="58" t="s">
        <v>21</v>
      </c>
      <c r="I40" s="58" t="s">
        <v>21</v>
      </c>
      <c r="J40" s="48">
        <f>0</f>
        <v>0</v>
      </c>
      <c r="K40" s="48">
        <f>0</f>
        <v>0</v>
      </c>
      <c r="L40" s="48">
        <f>0</f>
        <v>0</v>
      </c>
      <c r="M40" s="59" t="s">
        <v>21</v>
      </c>
      <c r="N40" s="58" t="s">
        <v>21</v>
      </c>
      <c r="O40" s="48">
        <f>0</f>
        <v>0</v>
      </c>
      <c r="P40" s="48">
        <f>0</f>
        <v>0</v>
      </c>
      <c r="Q40" s="48">
        <f>0</f>
        <v>0</v>
      </c>
      <c r="R40" s="48">
        <f>0</f>
        <v>0</v>
      </c>
      <c r="S40" s="58" t="s">
        <v>21</v>
      </c>
      <c r="T40" s="58" t="s">
        <v>21</v>
      </c>
      <c r="U40" s="58" t="s">
        <v>21</v>
      </c>
      <c r="V40" s="58" t="s">
        <v>21</v>
      </c>
      <c r="W40" s="58" t="s">
        <v>21</v>
      </c>
      <c r="X40" s="58" t="s">
        <v>21</v>
      </c>
      <c r="Y40" s="58" t="s">
        <v>21</v>
      </c>
    </row>
    <row r="41" spans="1:25">
      <c r="A41" s="53">
        <v>5</v>
      </c>
      <c r="B41" s="54">
        <v>1</v>
      </c>
      <c r="C41" s="54" t="s">
        <v>21</v>
      </c>
      <c r="D41" s="55"/>
      <c r="E41" s="56" t="s">
        <v>78</v>
      </c>
      <c r="F41" s="42"/>
      <c r="G41" s="42"/>
      <c r="H41" s="42"/>
      <c r="I41" s="42"/>
      <c r="J41" s="42">
        <f>1446810.72</f>
        <v>1446810.72</v>
      </c>
      <c r="K41" s="42">
        <f>1446810.72</f>
        <v>1446810.72</v>
      </c>
      <c r="L41" s="42">
        <f>723405.36</f>
        <v>723405.36</v>
      </c>
      <c r="M41" s="57">
        <f t="shared" si="8"/>
        <v>0.5</v>
      </c>
      <c r="N41" s="41">
        <f>+IF(K41&lt;&gt;0,L41/K41,0)</f>
        <v>0.5</v>
      </c>
      <c r="O41" s="42">
        <f>1546810.8</f>
        <v>1546810.8</v>
      </c>
      <c r="P41" s="42">
        <f>1663504.58</f>
        <v>1663504.58</v>
      </c>
      <c r="Q41" s="42">
        <f>1812207.13</f>
        <v>1812207.13</v>
      </c>
      <c r="R41" s="42">
        <f>1807700.56</f>
        <v>1807700.56</v>
      </c>
      <c r="S41" s="43" t="str">
        <f>+IF(F41&lt;&gt;0,G41/F41-1,"")</f>
        <v/>
      </c>
      <c r="T41" s="43" t="str">
        <f t="shared" si="9"/>
        <v/>
      </c>
      <c r="U41" s="43" t="str">
        <f t="shared" si="10"/>
        <v/>
      </c>
      <c r="V41" s="43">
        <f t="shared" si="11"/>
        <v>6.9117596806305137E-2</v>
      </c>
      <c r="W41" s="43">
        <f t="shared" si="12"/>
        <v>7.544153428460687E-2</v>
      </c>
      <c r="X41" s="43">
        <f t="shared" si="12"/>
        <v>8.9391127495422884E-2</v>
      </c>
      <c r="Y41" s="43">
        <f t="shared" si="12"/>
        <v>-2.4867852716150551E-3</v>
      </c>
    </row>
    <row r="42" spans="1:25">
      <c r="A42" s="44" t="s">
        <v>79</v>
      </c>
      <c r="B42" s="45">
        <v>1</v>
      </c>
      <c r="C42" s="45" t="s">
        <v>21</v>
      </c>
      <c r="D42" s="46"/>
      <c r="E42" s="47" t="s">
        <v>80</v>
      </c>
      <c r="F42" s="48"/>
      <c r="G42" s="48"/>
      <c r="H42" s="48"/>
      <c r="I42" s="48"/>
      <c r="J42" s="48">
        <f>1446810.72</f>
        <v>1446810.72</v>
      </c>
      <c r="K42" s="48">
        <f>1446810.72+0</f>
        <v>1446810.72</v>
      </c>
      <c r="L42" s="48">
        <f>723405.36+0</f>
        <v>723405.36</v>
      </c>
      <c r="M42" s="49">
        <f t="shared" si="8"/>
        <v>0.5</v>
      </c>
      <c r="N42" s="50">
        <f>+IF(K42&lt;&gt;0,L42/K42,0)</f>
        <v>0.5</v>
      </c>
      <c r="O42" s="48">
        <f>1546810.8</f>
        <v>1546810.8</v>
      </c>
      <c r="P42" s="48">
        <f>1663504.58</f>
        <v>1663504.58</v>
      </c>
      <c r="Q42" s="48">
        <f>1812207.13</f>
        <v>1812207.13</v>
      </c>
      <c r="R42" s="48">
        <f>1807700.56</f>
        <v>1807700.56</v>
      </c>
      <c r="S42" s="43" t="str">
        <f>+IF(F42&lt;&gt;0,G42/F42-1,"")</f>
        <v/>
      </c>
      <c r="T42" s="43" t="str">
        <f t="shared" si="9"/>
        <v/>
      </c>
      <c r="U42" s="43" t="str">
        <f t="shared" si="10"/>
        <v/>
      </c>
      <c r="V42" s="43">
        <f t="shared" si="11"/>
        <v>6.9117596806305137E-2</v>
      </c>
      <c r="W42" s="43">
        <f t="shared" si="12"/>
        <v>7.544153428460687E-2</v>
      </c>
      <c r="X42" s="43">
        <f t="shared" si="12"/>
        <v>8.9391127495422884E-2</v>
      </c>
      <c r="Y42" s="43">
        <f t="shared" si="12"/>
        <v>-2.4867852716150551E-3</v>
      </c>
    </row>
    <row r="43" spans="1:25" ht="24">
      <c r="A43" s="44" t="s">
        <v>81</v>
      </c>
      <c r="B43" s="45">
        <v>1</v>
      </c>
      <c r="C43" s="45" t="s">
        <v>21</v>
      </c>
      <c r="D43" s="46"/>
      <c r="E43" s="51" t="s">
        <v>82</v>
      </c>
      <c r="F43" s="58" t="s">
        <v>21</v>
      </c>
      <c r="G43" s="58" t="s">
        <v>21</v>
      </c>
      <c r="H43" s="58" t="s">
        <v>21</v>
      </c>
      <c r="I43" s="58" t="s">
        <v>21</v>
      </c>
      <c r="J43" s="48">
        <f>0</f>
        <v>0</v>
      </c>
      <c r="K43" s="48">
        <f>0</f>
        <v>0</v>
      </c>
      <c r="L43" s="48">
        <f>0</f>
        <v>0</v>
      </c>
      <c r="M43" s="59" t="s">
        <v>21</v>
      </c>
      <c r="N43" s="58" t="s">
        <v>21</v>
      </c>
      <c r="O43" s="48">
        <f>0</f>
        <v>0</v>
      </c>
      <c r="P43" s="48">
        <f>0</f>
        <v>0</v>
      </c>
      <c r="Q43" s="48">
        <f>0</f>
        <v>0</v>
      </c>
      <c r="R43" s="48">
        <f>0</f>
        <v>0</v>
      </c>
      <c r="S43" s="58" t="s">
        <v>21</v>
      </c>
      <c r="T43" s="58" t="s">
        <v>21</v>
      </c>
      <c r="U43" s="58" t="s">
        <v>21</v>
      </c>
      <c r="V43" s="58" t="s">
        <v>21</v>
      </c>
      <c r="W43" s="58" t="s">
        <v>21</v>
      </c>
      <c r="X43" s="58" t="s">
        <v>21</v>
      </c>
      <c r="Y43" s="58" t="s">
        <v>21</v>
      </c>
    </row>
    <row r="44" spans="1:25" ht="24">
      <c r="A44" s="44" t="s">
        <v>83</v>
      </c>
      <c r="B44" s="45">
        <v>1</v>
      </c>
      <c r="C44" s="45" t="s">
        <v>21</v>
      </c>
      <c r="D44" s="46"/>
      <c r="E44" s="52" t="s">
        <v>84</v>
      </c>
      <c r="F44" s="58" t="s">
        <v>21</v>
      </c>
      <c r="G44" s="58" t="s">
        <v>21</v>
      </c>
      <c r="H44" s="58" t="s">
        <v>21</v>
      </c>
      <c r="I44" s="58" t="s">
        <v>21</v>
      </c>
      <c r="J44" s="48">
        <f>0</f>
        <v>0</v>
      </c>
      <c r="K44" s="48">
        <f>0</f>
        <v>0</v>
      </c>
      <c r="L44" s="48">
        <f>0</f>
        <v>0</v>
      </c>
      <c r="M44" s="59" t="s">
        <v>21</v>
      </c>
      <c r="N44" s="58" t="s">
        <v>21</v>
      </c>
      <c r="O44" s="48">
        <f>0</f>
        <v>0</v>
      </c>
      <c r="P44" s="48">
        <f>0</f>
        <v>0</v>
      </c>
      <c r="Q44" s="48">
        <f>0</f>
        <v>0</v>
      </c>
      <c r="R44" s="48">
        <f>0</f>
        <v>0</v>
      </c>
      <c r="S44" s="58" t="s">
        <v>21</v>
      </c>
      <c r="T44" s="58" t="s">
        <v>21</v>
      </c>
      <c r="U44" s="58" t="s">
        <v>21</v>
      </c>
      <c r="V44" s="58" t="s">
        <v>21</v>
      </c>
      <c r="W44" s="58" t="s">
        <v>21</v>
      </c>
      <c r="X44" s="58" t="s">
        <v>21</v>
      </c>
      <c r="Y44" s="58" t="s">
        <v>21</v>
      </c>
    </row>
    <row r="45" spans="1:25" ht="24">
      <c r="A45" s="44" t="s">
        <v>85</v>
      </c>
      <c r="B45" s="45">
        <v>1</v>
      </c>
      <c r="C45" s="45" t="s">
        <v>21</v>
      </c>
      <c r="D45" s="46"/>
      <c r="E45" s="52" t="s">
        <v>86</v>
      </c>
      <c r="F45" s="58" t="s">
        <v>21</v>
      </c>
      <c r="G45" s="58" t="s">
        <v>21</v>
      </c>
      <c r="H45" s="58" t="s">
        <v>21</v>
      </c>
      <c r="I45" s="58" t="s">
        <v>21</v>
      </c>
      <c r="J45" s="48">
        <f>0</f>
        <v>0</v>
      </c>
      <c r="K45" s="48">
        <f>0</f>
        <v>0</v>
      </c>
      <c r="L45" s="48">
        <f>0</f>
        <v>0</v>
      </c>
      <c r="M45" s="59" t="s">
        <v>21</v>
      </c>
      <c r="N45" s="58" t="s">
        <v>21</v>
      </c>
      <c r="O45" s="48">
        <f>0</f>
        <v>0</v>
      </c>
      <c r="P45" s="48">
        <f>0</f>
        <v>0</v>
      </c>
      <c r="Q45" s="48">
        <f>0</f>
        <v>0</v>
      </c>
      <c r="R45" s="48">
        <f>0</f>
        <v>0</v>
      </c>
      <c r="S45" s="58" t="s">
        <v>21</v>
      </c>
      <c r="T45" s="58" t="s">
        <v>21</v>
      </c>
      <c r="U45" s="58" t="s">
        <v>21</v>
      </c>
      <c r="V45" s="58" t="s">
        <v>21</v>
      </c>
      <c r="W45" s="58" t="s">
        <v>21</v>
      </c>
      <c r="X45" s="58" t="s">
        <v>21</v>
      </c>
      <c r="Y45" s="58" t="s">
        <v>21</v>
      </c>
    </row>
    <row r="46" spans="1:25" ht="24">
      <c r="A46" s="44" t="s">
        <v>87</v>
      </c>
      <c r="B46" s="45">
        <v>1</v>
      </c>
      <c r="C46" s="45" t="s">
        <v>21</v>
      </c>
      <c r="D46" s="46"/>
      <c r="E46" s="52" t="s">
        <v>88</v>
      </c>
      <c r="F46" s="58" t="s">
        <v>21</v>
      </c>
      <c r="G46" s="58" t="s">
        <v>21</v>
      </c>
      <c r="H46" s="58" t="s">
        <v>21</v>
      </c>
      <c r="I46" s="58" t="s">
        <v>21</v>
      </c>
      <c r="J46" s="48">
        <f>0</f>
        <v>0</v>
      </c>
      <c r="K46" s="48">
        <f>0+0</f>
        <v>0</v>
      </c>
      <c r="L46" s="48">
        <f>0+0</f>
        <v>0</v>
      </c>
      <c r="M46" s="59" t="s">
        <v>21</v>
      </c>
      <c r="N46" s="58" t="s">
        <v>21</v>
      </c>
      <c r="O46" s="48">
        <f>0</f>
        <v>0</v>
      </c>
      <c r="P46" s="48">
        <f>0</f>
        <v>0</v>
      </c>
      <c r="Q46" s="48">
        <f>0</f>
        <v>0</v>
      </c>
      <c r="R46" s="48">
        <f>0</f>
        <v>0</v>
      </c>
      <c r="S46" s="58" t="s">
        <v>21</v>
      </c>
      <c r="T46" s="58" t="s">
        <v>21</v>
      </c>
      <c r="U46" s="58" t="s">
        <v>21</v>
      </c>
      <c r="V46" s="58" t="s">
        <v>21</v>
      </c>
      <c r="W46" s="58" t="s">
        <v>21</v>
      </c>
      <c r="X46" s="58" t="s">
        <v>21</v>
      </c>
      <c r="Y46" s="58" t="s">
        <v>21</v>
      </c>
    </row>
    <row r="47" spans="1:25">
      <c r="A47" s="44" t="s">
        <v>89</v>
      </c>
      <c r="B47" s="45">
        <v>1</v>
      </c>
      <c r="C47" s="45"/>
      <c r="D47" s="46"/>
      <c r="E47" s="47" t="s">
        <v>90</v>
      </c>
      <c r="F47" s="48"/>
      <c r="G47" s="48"/>
      <c r="H47" s="48"/>
      <c r="I47" s="48"/>
      <c r="J47" s="48">
        <f>0</f>
        <v>0</v>
      </c>
      <c r="K47" s="48">
        <f>0+0</f>
        <v>0</v>
      </c>
      <c r="L47" s="48">
        <f>0+0</f>
        <v>0</v>
      </c>
      <c r="M47" s="60"/>
      <c r="N47" s="48"/>
      <c r="O47" s="48">
        <f>0</f>
        <v>0</v>
      </c>
      <c r="P47" s="48">
        <f>0</f>
        <v>0</v>
      </c>
      <c r="Q47" s="48">
        <f>0</f>
        <v>0</v>
      </c>
      <c r="R47" s="48">
        <f>0</f>
        <v>0</v>
      </c>
      <c r="S47" s="43" t="str">
        <f>+IF(F47&lt;&gt;0,G47/F47-1,"")</f>
        <v/>
      </c>
      <c r="T47" s="43" t="str">
        <f>+IF(G47&lt;&gt;0,I47/G47-1,"")</f>
        <v/>
      </c>
      <c r="U47" s="43" t="str">
        <f>+IF(I47&lt;&gt;0,J47/I47-1,"")</f>
        <v/>
      </c>
      <c r="V47" s="43" t="str">
        <f>+IF(J47&lt;&gt;0,O47/J47-1,"")</f>
        <v/>
      </c>
      <c r="W47" s="43" t="str">
        <f>+IF(O47&lt;&gt;0,P47/O47-1,"")</f>
        <v/>
      </c>
      <c r="X47" s="43" t="str">
        <f>+IF(P47&lt;&gt;0,Q47/P47-1,"")</f>
        <v/>
      </c>
      <c r="Y47" s="43" t="str">
        <f>+IF(Q47&lt;&gt;0,R47/Q47-1,"")</f>
        <v/>
      </c>
    </row>
    <row r="48" spans="1:25">
      <c r="A48" s="53">
        <v>6</v>
      </c>
      <c r="B48" s="54">
        <v>0</v>
      </c>
      <c r="C48" s="54" t="s">
        <v>21</v>
      </c>
      <c r="D48" s="55"/>
      <c r="E48" s="56" t="s">
        <v>91</v>
      </c>
      <c r="F48" s="42">
        <f>14153655.62</f>
        <v>14153655.619999999</v>
      </c>
      <c r="G48" s="42">
        <f>13235226.48</f>
        <v>13235226.48</v>
      </c>
      <c r="H48" s="42">
        <f>12546581.39</f>
        <v>12546581.390000001</v>
      </c>
      <c r="I48" s="42">
        <f>13888415.65</f>
        <v>13888415.65</v>
      </c>
      <c r="J48" s="42">
        <f>13441604.93</f>
        <v>13441604.93</v>
      </c>
      <c r="K48" s="58" t="s">
        <v>21</v>
      </c>
      <c r="L48" s="58" t="s">
        <v>21</v>
      </c>
      <c r="M48" s="59" t="s">
        <v>21</v>
      </c>
      <c r="N48" s="58" t="s">
        <v>21</v>
      </c>
      <c r="O48" s="42">
        <f>11894794.13</f>
        <v>11894794.130000001</v>
      </c>
      <c r="P48" s="42">
        <f>10231289.55</f>
        <v>10231289.550000001</v>
      </c>
      <c r="Q48" s="42">
        <f>8419082.42</f>
        <v>8419082.4199999999</v>
      </c>
      <c r="R48" s="42">
        <f>6611381.86</f>
        <v>6611381.8600000003</v>
      </c>
      <c r="S48" s="58" t="s">
        <v>21</v>
      </c>
      <c r="T48" s="58" t="s">
        <v>21</v>
      </c>
      <c r="U48" s="58" t="s">
        <v>21</v>
      </c>
      <c r="V48" s="58" t="s">
        <v>21</v>
      </c>
      <c r="W48" s="58" t="s">
        <v>21</v>
      </c>
      <c r="X48" s="58" t="s">
        <v>21</v>
      </c>
      <c r="Y48" s="58" t="s">
        <v>21</v>
      </c>
    </row>
    <row r="49" spans="1:25" ht="36">
      <c r="A49" s="53">
        <v>7</v>
      </c>
      <c r="B49" s="54">
        <v>0</v>
      </c>
      <c r="C49" s="54"/>
      <c r="D49" s="55"/>
      <c r="E49" s="56" t="s">
        <v>92</v>
      </c>
      <c r="F49" s="58" t="s">
        <v>21</v>
      </c>
      <c r="G49" s="58" t="s">
        <v>21</v>
      </c>
      <c r="H49" s="58" t="s">
        <v>21</v>
      </c>
      <c r="I49" s="58" t="s">
        <v>21</v>
      </c>
      <c r="J49" s="42">
        <f>0</f>
        <v>0</v>
      </c>
      <c r="K49" s="58" t="s">
        <v>21</v>
      </c>
      <c r="L49" s="58" t="s">
        <v>21</v>
      </c>
      <c r="M49" s="59" t="s">
        <v>21</v>
      </c>
      <c r="N49" s="58" t="s">
        <v>21</v>
      </c>
      <c r="O49" s="42">
        <f>0</f>
        <v>0</v>
      </c>
      <c r="P49" s="42">
        <f>0</f>
        <v>0</v>
      </c>
      <c r="Q49" s="42">
        <f>0</f>
        <v>0</v>
      </c>
      <c r="R49" s="42">
        <f>0</f>
        <v>0</v>
      </c>
      <c r="S49" s="58" t="s">
        <v>21</v>
      </c>
      <c r="T49" s="58" t="s">
        <v>21</v>
      </c>
      <c r="U49" s="58" t="s">
        <v>21</v>
      </c>
      <c r="V49" s="58" t="s">
        <v>21</v>
      </c>
      <c r="W49" s="58" t="s">
        <v>21</v>
      </c>
      <c r="X49" s="58" t="s">
        <v>21</v>
      </c>
      <c r="Y49" s="58" t="s">
        <v>21</v>
      </c>
    </row>
    <row r="50" spans="1:25">
      <c r="A50" s="53">
        <v>8</v>
      </c>
      <c r="B50" s="54">
        <v>1</v>
      </c>
      <c r="C50" s="54"/>
      <c r="D50" s="55"/>
      <c r="E50" s="56" t="s">
        <v>93</v>
      </c>
      <c r="F50" s="61" t="s">
        <v>21</v>
      </c>
      <c r="G50" s="61" t="s">
        <v>21</v>
      </c>
      <c r="H50" s="61" t="s">
        <v>21</v>
      </c>
      <c r="I50" s="61" t="s">
        <v>21</v>
      </c>
      <c r="J50" s="61" t="s">
        <v>21</v>
      </c>
      <c r="K50" s="61" t="s">
        <v>21</v>
      </c>
      <c r="L50" s="61" t="s">
        <v>21</v>
      </c>
      <c r="M50" s="62" t="s">
        <v>21</v>
      </c>
      <c r="N50" s="61" t="s">
        <v>21</v>
      </c>
      <c r="O50" s="61" t="s">
        <v>21</v>
      </c>
      <c r="P50" s="61" t="s">
        <v>21</v>
      </c>
      <c r="Q50" s="61" t="s">
        <v>21</v>
      </c>
      <c r="R50" s="61" t="s">
        <v>21</v>
      </c>
      <c r="S50" s="61" t="s">
        <v>21</v>
      </c>
      <c r="T50" s="61" t="s">
        <v>21</v>
      </c>
      <c r="U50" s="61" t="s">
        <v>21</v>
      </c>
      <c r="V50" s="61" t="s">
        <v>21</v>
      </c>
      <c r="W50" s="61" t="s">
        <v>21</v>
      </c>
      <c r="X50" s="61" t="s">
        <v>21</v>
      </c>
      <c r="Y50" s="61" t="s">
        <v>21</v>
      </c>
    </row>
    <row r="51" spans="1:25">
      <c r="A51" s="44" t="s">
        <v>94</v>
      </c>
      <c r="B51" s="45">
        <v>1</v>
      </c>
      <c r="C51" s="45"/>
      <c r="D51" s="46"/>
      <c r="E51" s="47" t="s">
        <v>95</v>
      </c>
      <c r="F51" s="48">
        <f>+F11-F22</f>
        <v>2889061.5999999978</v>
      </c>
      <c r="G51" s="48">
        <f>+G11-G22</f>
        <v>2538042.41</v>
      </c>
      <c r="H51" s="48">
        <f>+H11-H22</f>
        <v>1398781.1600000001</v>
      </c>
      <c r="I51" s="48">
        <f>+I11-I22</f>
        <v>1859476.6900000013</v>
      </c>
      <c r="J51" s="48">
        <f>988442.61</f>
        <v>988442.61</v>
      </c>
      <c r="K51" s="48">
        <f>+K11-K22</f>
        <v>988442.6099999994</v>
      </c>
      <c r="L51" s="48">
        <f>+L11-L22</f>
        <v>1805763.5099999979</v>
      </c>
      <c r="M51" s="49">
        <f>+IF(J51&lt;&gt;0,L51/J51,0)</f>
        <v>1.8268774451154002</v>
      </c>
      <c r="N51" s="50">
        <f>+IF(K51&lt;&gt;0,L51/K51,0)</f>
        <v>1.8268774451154013</v>
      </c>
      <c r="O51" s="48">
        <f>4662509.1</f>
        <v>4662509.0999999996</v>
      </c>
      <c r="P51" s="48">
        <f>2226921.49</f>
        <v>2226921.4900000002</v>
      </c>
      <c r="Q51" s="48">
        <f>4346488.5</f>
        <v>4346488.5</v>
      </c>
      <c r="R51" s="48">
        <f>2887424.99</f>
        <v>2887424.99</v>
      </c>
      <c r="S51" s="43">
        <f>+IF(F51&lt;&gt;0,G51/F51-1,"")</f>
        <v>-0.12149937889867002</v>
      </c>
      <c r="T51" s="43">
        <f>+IF(G51&lt;&gt;0,I51/G51-1,"")</f>
        <v>-0.26735791227381378</v>
      </c>
      <c r="U51" s="43">
        <f>+IF(I51&lt;&gt;0,J51/I51-1,"")</f>
        <v>-0.46842968491312509</v>
      </c>
      <c r="V51" s="43">
        <f>+IF(J51&lt;&gt;0,O51/J51-1,"")</f>
        <v>3.7170256045517904</v>
      </c>
      <c r="W51" s="43">
        <f t="shared" ref="W51:Y52" si="13">+IF(O51&lt;&gt;0,P51/O51-1,"")</f>
        <v>-0.52237702013278642</v>
      </c>
      <c r="X51" s="43">
        <f t="shared" si="13"/>
        <v>0.95179242713222001</v>
      </c>
      <c r="Y51" s="43">
        <f t="shared" si="13"/>
        <v>-0.33568787999784189</v>
      </c>
    </row>
    <row r="52" spans="1:25" ht="24">
      <c r="A52" s="44" t="s">
        <v>96</v>
      </c>
      <c r="B52" s="45">
        <v>1</v>
      </c>
      <c r="C52" s="45"/>
      <c r="D52" s="46"/>
      <c r="E52" s="47" t="s">
        <v>97</v>
      </c>
      <c r="F52" s="48"/>
      <c r="G52" s="48"/>
      <c r="H52" s="48"/>
      <c r="I52" s="48"/>
      <c r="J52" s="48">
        <f>7148920.48</f>
        <v>7148920.4800000004</v>
      </c>
      <c r="K52" s="48"/>
      <c r="L52" s="48"/>
      <c r="M52" s="49">
        <f>+IF(J52&lt;&gt;0,L52/J52,0)</f>
        <v>0</v>
      </c>
      <c r="N52" s="50">
        <f>+IF(K52&lt;&gt;0,L52/K52,0)</f>
        <v>0</v>
      </c>
      <c r="O52" s="48">
        <f>4662509.1</f>
        <v>4662509.0999999996</v>
      </c>
      <c r="P52" s="48">
        <f>2226921.49</f>
        <v>2226921.4900000002</v>
      </c>
      <c r="Q52" s="48">
        <f>4346488.5</f>
        <v>4346488.5</v>
      </c>
      <c r="R52" s="48">
        <f>2887424.99</f>
        <v>2887424.99</v>
      </c>
      <c r="S52" s="43" t="str">
        <f>+IF(F52&lt;&gt;0,G52/F52-1,"")</f>
        <v/>
      </c>
      <c r="T52" s="43" t="str">
        <f>+IF(G52&lt;&gt;0,I52/G52-1,"")</f>
        <v/>
      </c>
      <c r="U52" s="43" t="str">
        <f>+IF(I52&lt;&gt;0,J52/I52-1,"")</f>
        <v/>
      </c>
      <c r="V52" s="43">
        <f>+IF(J52&lt;&gt;0,O52/J52-1,"")</f>
        <v>-0.3478023551885977</v>
      </c>
      <c r="W52" s="43">
        <f t="shared" si="13"/>
        <v>-0.52237702013278642</v>
      </c>
      <c r="X52" s="43">
        <f t="shared" si="13"/>
        <v>0.95179242713222001</v>
      </c>
      <c r="Y52" s="43">
        <f t="shared" si="13"/>
        <v>-0.33568787999784189</v>
      </c>
    </row>
    <row r="53" spans="1:25">
      <c r="A53" s="53">
        <v>9</v>
      </c>
      <c r="B53" s="54">
        <v>0</v>
      </c>
      <c r="C53" s="54" t="s">
        <v>21</v>
      </c>
      <c r="D53" s="55"/>
      <c r="E53" s="56" t="s">
        <v>98</v>
      </c>
      <c r="F53" s="58" t="s">
        <v>21</v>
      </c>
      <c r="G53" s="58" t="s">
        <v>21</v>
      </c>
      <c r="H53" s="58" t="s">
        <v>21</v>
      </c>
      <c r="I53" s="58" t="s">
        <v>21</v>
      </c>
      <c r="J53" s="61" t="s">
        <v>21</v>
      </c>
      <c r="K53" s="58" t="s">
        <v>21</v>
      </c>
      <c r="L53" s="58" t="s">
        <v>21</v>
      </c>
      <c r="M53" s="59" t="s">
        <v>21</v>
      </c>
      <c r="N53" s="58" t="s">
        <v>21</v>
      </c>
      <c r="O53" s="61" t="s">
        <v>21</v>
      </c>
      <c r="P53" s="61" t="s">
        <v>21</v>
      </c>
      <c r="Q53" s="61" t="s">
        <v>21</v>
      </c>
      <c r="R53" s="61" t="s">
        <v>21</v>
      </c>
      <c r="S53" s="58" t="s">
        <v>21</v>
      </c>
      <c r="T53" s="58" t="s">
        <v>21</v>
      </c>
      <c r="U53" s="58" t="s">
        <v>21</v>
      </c>
      <c r="V53" s="58" t="s">
        <v>21</v>
      </c>
      <c r="W53" s="58" t="s">
        <v>21</v>
      </c>
      <c r="X53" s="58" t="s">
        <v>21</v>
      </c>
      <c r="Y53" s="58" t="s">
        <v>21</v>
      </c>
    </row>
    <row r="54" spans="1:25" ht="48">
      <c r="A54" s="44" t="s">
        <v>99</v>
      </c>
      <c r="B54" s="45">
        <v>0</v>
      </c>
      <c r="C54" s="45" t="s">
        <v>21</v>
      </c>
      <c r="D54" s="46"/>
      <c r="E54" s="47" t="s">
        <v>100</v>
      </c>
      <c r="F54" s="58" t="s">
        <v>21</v>
      </c>
      <c r="G54" s="58" t="s">
        <v>21</v>
      </c>
      <c r="H54" s="58" t="s">
        <v>21</v>
      </c>
      <c r="I54" s="58" t="s">
        <v>21</v>
      </c>
      <c r="J54" s="63">
        <f>0.0529</f>
        <v>5.2900000000000003E-2</v>
      </c>
      <c r="K54" s="58" t="s">
        <v>21</v>
      </c>
      <c r="L54" s="58" t="s">
        <v>21</v>
      </c>
      <c r="M54" s="59" t="s">
        <v>21</v>
      </c>
      <c r="N54" s="58" t="s">
        <v>21</v>
      </c>
      <c r="O54" s="63">
        <f>0.0508</f>
        <v>5.0799999999999998E-2</v>
      </c>
      <c r="P54" s="63">
        <f>0.0605</f>
        <v>6.0499999999999998E-2</v>
      </c>
      <c r="Q54" s="63">
        <f>0.0575</f>
        <v>5.7500000000000002E-2</v>
      </c>
      <c r="R54" s="63">
        <f>0.0559</f>
        <v>5.5899999999999998E-2</v>
      </c>
      <c r="S54" s="58" t="s">
        <v>21</v>
      </c>
      <c r="T54" s="58" t="s">
        <v>21</v>
      </c>
      <c r="U54" s="58" t="s">
        <v>21</v>
      </c>
      <c r="V54" s="58" t="s">
        <v>21</v>
      </c>
      <c r="W54" s="58" t="s">
        <v>21</v>
      </c>
      <c r="X54" s="58" t="s">
        <v>21</v>
      </c>
      <c r="Y54" s="58" t="s">
        <v>21</v>
      </c>
    </row>
    <row r="55" spans="1:25" ht="48">
      <c r="A55" s="44" t="s">
        <v>101</v>
      </c>
      <c r="B55" s="45">
        <v>0</v>
      </c>
      <c r="C55" s="45" t="s">
        <v>21</v>
      </c>
      <c r="D55" s="46"/>
      <c r="E55" s="47" t="s">
        <v>102</v>
      </c>
      <c r="F55" s="58" t="s">
        <v>21</v>
      </c>
      <c r="G55" s="58" t="s">
        <v>21</v>
      </c>
      <c r="H55" s="58" t="s">
        <v>21</v>
      </c>
      <c r="I55" s="58" t="s">
        <v>21</v>
      </c>
      <c r="J55" s="63">
        <f>0.0529</f>
        <v>5.2900000000000003E-2</v>
      </c>
      <c r="K55" s="58" t="s">
        <v>21</v>
      </c>
      <c r="L55" s="58" t="s">
        <v>21</v>
      </c>
      <c r="M55" s="59" t="s">
        <v>21</v>
      </c>
      <c r="N55" s="58" t="s">
        <v>21</v>
      </c>
      <c r="O55" s="63">
        <f>0.0508</f>
        <v>5.0799999999999998E-2</v>
      </c>
      <c r="P55" s="63">
        <f>0.0605</f>
        <v>6.0499999999999998E-2</v>
      </c>
      <c r="Q55" s="63">
        <f>0.0575</f>
        <v>5.7500000000000002E-2</v>
      </c>
      <c r="R55" s="63">
        <f>0.0559</f>
        <v>5.5899999999999998E-2</v>
      </c>
      <c r="S55" s="58" t="s">
        <v>21</v>
      </c>
      <c r="T55" s="58" t="s">
        <v>21</v>
      </c>
      <c r="U55" s="58" t="s">
        <v>21</v>
      </c>
      <c r="V55" s="58" t="s">
        <v>21</v>
      </c>
      <c r="W55" s="58" t="s">
        <v>21</v>
      </c>
      <c r="X55" s="58" t="s">
        <v>21</v>
      </c>
      <c r="Y55" s="58" t="s">
        <v>21</v>
      </c>
    </row>
    <row r="56" spans="1:25" ht="36">
      <c r="A56" s="44" t="s">
        <v>103</v>
      </c>
      <c r="B56" s="45">
        <v>0</v>
      </c>
      <c r="C56" s="45" t="s">
        <v>21</v>
      </c>
      <c r="D56" s="46"/>
      <c r="E56" s="47" t="s">
        <v>104</v>
      </c>
      <c r="F56" s="58" t="s">
        <v>21</v>
      </c>
      <c r="G56" s="58" t="s">
        <v>21</v>
      </c>
      <c r="H56" s="58" t="s">
        <v>21</v>
      </c>
      <c r="I56" s="58" t="s">
        <v>21</v>
      </c>
      <c r="J56" s="48">
        <f>0</f>
        <v>0</v>
      </c>
      <c r="K56" s="48">
        <f>0</f>
        <v>0</v>
      </c>
      <c r="L56" s="48">
        <f>0</f>
        <v>0</v>
      </c>
      <c r="M56" s="59" t="s">
        <v>21</v>
      </c>
      <c r="N56" s="58" t="s">
        <v>21</v>
      </c>
      <c r="O56" s="48">
        <f>0</f>
        <v>0</v>
      </c>
      <c r="P56" s="48">
        <f>0</f>
        <v>0</v>
      </c>
      <c r="Q56" s="48">
        <f>0</f>
        <v>0</v>
      </c>
      <c r="R56" s="48">
        <f>0</f>
        <v>0</v>
      </c>
      <c r="S56" s="58" t="s">
        <v>21</v>
      </c>
      <c r="T56" s="58" t="s">
        <v>21</v>
      </c>
      <c r="U56" s="58" t="s">
        <v>21</v>
      </c>
      <c r="V56" s="58" t="s">
        <v>21</v>
      </c>
      <c r="W56" s="58" t="s">
        <v>21</v>
      </c>
      <c r="X56" s="58" t="s">
        <v>21</v>
      </c>
      <c r="Y56" s="58" t="s">
        <v>21</v>
      </c>
    </row>
    <row r="57" spans="1:25" ht="48">
      <c r="A57" s="44" t="s">
        <v>105</v>
      </c>
      <c r="B57" s="45">
        <v>0</v>
      </c>
      <c r="C57" s="45" t="s">
        <v>21</v>
      </c>
      <c r="D57" s="46"/>
      <c r="E57" s="47" t="s">
        <v>106</v>
      </c>
      <c r="F57" s="58" t="s">
        <v>21</v>
      </c>
      <c r="G57" s="58" t="s">
        <v>21</v>
      </c>
      <c r="H57" s="58" t="s">
        <v>21</v>
      </c>
      <c r="I57" s="58" t="s">
        <v>21</v>
      </c>
      <c r="J57" s="63">
        <f>0.0529</f>
        <v>5.2900000000000003E-2</v>
      </c>
      <c r="K57" s="58" t="s">
        <v>21</v>
      </c>
      <c r="L57" s="58" t="s">
        <v>21</v>
      </c>
      <c r="M57" s="59" t="s">
        <v>21</v>
      </c>
      <c r="N57" s="58" t="s">
        <v>21</v>
      </c>
      <c r="O57" s="63">
        <f>0.0508</f>
        <v>5.0799999999999998E-2</v>
      </c>
      <c r="P57" s="63">
        <f>0.0605</f>
        <v>6.0499999999999998E-2</v>
      </c>
      <c r="Q57" s="63">
        <f>0.0575</f>
        <v>5.7500000000000002E-2</v>
      </c>
      <c r="R57" s="63">
        <f>0.0559</f>
        <v>5.5899999999999998E-2</v>
      </c>
      <c r="S57" s="58" t="s">
        <v>21</v>
      </c>
      <c r="T57" s="58" t="s">
        <v>21</v>
      </c>
      <c r="U57" s="58" t="s">
        <v>21</v>
      </c>
      <c r="V57" s="58" t="s">
        <v>21</v>
      </c>
      <c r="W57" s="58" t="s">
        <v>21</v>
      </c>
      <c r="X57" s="58" t="s">
        <v>21</v>
      </c>
      <c r="Y57" s="58" t="s">
        <v>21</v>
      </c>
    </row>
    <row r="58" spans="1:25" ht="36">
      <c r="A58" s="64" t="s">
        <v>107</v>
      </c>
      <c r="B58" s="65">
        <v>0</v>
      </c>
      <c r="C58" s="65" t="s">
        <v>21</v>
      </c>
      <c r="D58" s="66"/>
      <c r="E58" s="67" t="s">
        <v>108</v>
      </c>
      <c r="F58" s="58" t="s">
        <v>21</v>
      </c>
      <c r="G58" s="58" t="s">
        <v>21</v>
      </c>
      <c r="H58" s="58" t="s">
        <v>21</v>
      </c>
      <c r="I58" s="58" t="s">
        <v>21</v>
      </c>
      <c r="J58" s="63">
        <f>+IF(J10&lt;&gt;0,(J11+J19-J22)/J10,0)</f>
        <v>4.3625608543989253E-2</v>
      </c>
      <c r="K58" s="58" t="s">
        <v>21</v>
      </c>
      <c r="L58" s="58" t="s">
        <v>21</v>
      </c>
      <c r="M58" s="59" t="s">
        <v>21</v>
      </c>
      <c r="N58" s="58" t="s">
        <v>21</v>
      </c>
      <c r="O58" s="63">
        <f>+IF(O10&lt;&gt;0,(O11+O19-O22)/O10,0)</f>
        <v>0.13270900491402446</v>
      </c>
      <c r="P58" s="63">
        <f>+IF(P10&lt;&gt;0,(P11+P19-P22)/P10,0)</f>
        <v>8.2526909449662275E-2</v>
      </c>
      <c r="Q58" s="63">
        <f>+IF(Q10&lt;&gt;0,(Q11+Q19-Q22)/Q10,0)</f>
        <v>0.12942240014355841</v>
      </c>
      <c r="R58" s="63">
        <f>+IF(R10&lt;&gt;0,(R11+R19-R22)/R10,0)</f>
        <v>9.0928117824018814E-2</v>
      </c>
      <c r="S58" s="58" t="s">
        <v>21</v>
      </c>
      <c r="T58" s="58" t="s">
        <v>21</v>
      </c>
      <c r="U58" s="58" t="s">
        <v>21</v>
      </c>
      <c r="V58" s="58" t="s">
        <v>21</v>
      </c>
      <c r="W58" s="58" t="s">
        <v>21</v>
      </c>
      <c r="X58" s="58" t="s">
        <v>21</v>
      </c>
      <c r="Y58" s="58" t="s">
        <v>21</v>
      </c>
    </row>
    <row r="59" spans="1:25" ht="48">
      <c r="A59" s="44" t="s">
        <v>109</v>
      </c>
      <c r="B59" s="45">
        <v>0</v>
      </c>
      <c r="C59" s="45" t="s">
        <v>21</v>
      </c>
      <c r="D59" s="46"/>
      <c r="E59" s="47" t="s">
        <v>110</v>
      </c>
      <c r="F59" s="58" t="s">
        <v>21</v>
      </c>
      <c r="G59" s="58" t="s">
        <v>21</v>
      </c>
      <c r="H59" s="58" t="s">
        <v>21</v>
      </c>
      <c r="I59" s="58" t="s">
        <v>21</v>
      </c>
      <c r="J59" s="63">
        <f>0.084</f>
        <v>8.4000000000000005E-2</v>
      </c>
      <c r="K59" s="58" t="s">
        <v>21</v>
      </c>
      <c r="L59" s="58" t="s">
        <v>21</v>
      </c>
      <c r="M59" s="59" t="s">
        <v>21</v>
      </c>
      <c r="N59" s="58" t="s">
        <v>21</v>
      </c>
      <c r="O59" s="63">
        <f>0.0651</f>
        <v>6.5100000000000005E-2</v>
      </c>
      <c r="P59" s="63">
        <f>0.0787</f>
        <v>7.8700000000000006E-2</v>
      </c>
      <c r="Q59" s="63">
        <f>0.0863</f>
        <v>8.6300000000000002E-2</v>
      </c>
      <c r="R59" s="63">
        <f>0.1149</f>
        <v>0.1149</v>
      </c>
      <c r="S59" s="58" t="s">
        <v>21</v>
      </c>
      <c r="T59" s="58" t="s">
        <v>21</v>
      </c>
      <c r="U59" s="58" t="s">
        <v>21</v>
      </c>
      <c r="V59" s="58" t="s">
        <v>21</v>
      </c>
      <c r="W59" s="58" t="s">
        <v>21</v>
      </c>
      <c r="X59" s="58" t="s">
        <v>21</v>
      </c>
      <c r="Y59" s="58" t="s">
        <v>21</v>
      </c>
    </row>
    <row r="60" spans="1:25" ht="48">
      <c r="A60" s="44" t="s">
        <v>111</v>
      </c>
      <c r="B60" s="45">
        <v>0</v>
      </c>
      <c r="C60" s="45" t="s">
        <v>21</v>
      </c>
      <c r="D60" s="46"/>
      <c r="E60" s="51" t="s">
        <v>112</v>
      </c>
      <c r="F60" s="58" t="s">
        <v>21</v>
      </c>
      <c r="G60" s="58" t="s">
        <v>21</v>
      </c>
      <c r="H60" s="58" t="s">
        <v>21</v>
      </c>
      <c r="I60" s="58" t="s">
        <v>21</v>
      </c>
      <c r="J60" s="63">
        <f>0.0896</f>
        <v>8.9599999999999999E-2</v>
      </c>
      <c r="K60" s="58" t="s">
        <v>21</v>
      </c>
      <c r="L60" s="58" t="s">
        <v>21</v>
      </c>
      <c r="M60" s="59" t="s">
        <v>21</v>
      </c>
      <c r="N60" s="58" t="s">
        <v>21</v>
      </c>
      <c r="O60" s="63">
        <f>0.0707</f>
        <v>7.0699999999999999E-2</v>
      </c>
      <c r="P60" s="63">
        <f>0.0842</f>
        <v>8.4199999999999997E-2</v>
      </c>
      <c r="Q60" s="63">
        <f>0.0863</f>
        <v>8.6300000000000002E-2</v>
      </c>
      <c r="R60" s="63">
        <f>0.1149</f>
        <v>0.1149</v>
      </c>
      <c r="S60" s="58" t="s">
        <v>21</v>
      </c>
      <c r="T60" s="58" t="s">
        <v>21</v>
      </c>
      <c r="U60" s="58" t="s">
        <v>21</v>
      </c>
      <c r="V60" s="58" t="s">
        <v>21</v>
      </c>
      <c r="W60" s="58" t="s">
        <v>21</v>
      </c>
      <c r="X60" s="58" t="s">
        <v>21</v>
      </c>
      <c r="Y60" s="58" t="s">
        <v>21</v>
      </c>
    </row>
    <row r="61" spans="1:25" ht="48.75" thickBot="1">
      <c r="A61" s="71" t="s">
        <v>113</v>
      </c>
      <c r="B61" s="72">
        <v>0</v>
      </c>
      <c r="C61" s="72" t="s">
        <v>21</v>
      </c>
      <c r="D61" s="73"/>
      <c r="E61" s="118" t="s">
        <v>114</v>
      </c>
      <c r="F61" s="75" t="s">
        <v>21</v>
      </c>
      <c r="G61" s="75" t="s">
        <v>21</v>
      </c>
      <c r="H61" s="75" t="s">
        <v>21</v>
      </c>
      <c r="I61" s="75" t="s">
        <v>21</v>
      </c>
      <c r="J61" s="119" t="str">
        <f>IF(J57&lt;=J59,"Spełniona","Nie spełniona")</f>
        <v>Spełniona</v>
      </c>
      <c r="K61" s="75" t="s">
        <v>21</v>
      </c>
      <c r="L61" s="75" t="s">
        <v>21</v>
      </c>
      <c r="M61" s="77" t="s">
        <v>21</v>
      </c>
      <c r="N61" s="58" t="s">
        <v>21</v>
      </c>
      <c r="O61" s="68" t="str">
        <f>IF(O57&lt;=O59,"Spełniona","Nie spełniona")</f>
        <v>Spełniona</v>
      </c>
      <c r="P61" s="68" t="str">
        <f>IF(P57&lt;=P59,"Spełniona","Nie spełniona")</f>
        <v>Spełniona</v>
      </c>
      <c r="Q61" s="68" t="str">
        <f>IF(Q57&lt;=Q59,"Spełniona","Nie spełniona")</f>
        <v>Spełniona</v>
      </c>
      <c r="R61" s="68" t="str">
        <f>IF(R57&lt;=R59,"Spełniona","Nie spełniona")</f>
        <v>Spełniona</v>
      </c>
      <c r="S61" s="58" t="s">
        <v>21</v>
      </c>
      <c r="T61" s="58" t="s">
        <v>21</v>
      </c>
      <c r="U61" s="58" t="s">
        <v>21</v>
      </c>
      <c r="V61" s="58" t="s">
        <v>21</v>
      </c>
      <c r="W61" s="58" t="s">
        <v>21</v>
      </c>
      <c r="X61" s="58" t="s">
        <v>21</v>
      </c>
      <c r="Y61" s="58" t="s">
        <v>21</v>
      </c>
    </row>
    <row r="62" spans="1:25" ht="48">
      <c r="A62" s="111" t="s">
        <v>115</v>
      </c>
      <c r="B62" s="112">
        <v>0</v>
      </c>
      <c r="C62" s="112" t="s">
        <v>21</v>
      </c>
      <c r="D62" s="113"/>
      <c r="E62" s="114" t="s">
        <v>116</v>
      </c>
      <c r="F62" s="115" t="s">
        <v>21</v>
      </c>
      <c r="G62" s="115" t="s">
        <v>21</v>
      </c>
      <c r="H62" s="115" t="s">
        <v>21</v>
      </c>
      <c r="I62" s="115" t="s">
        <v>21</v>
      </c>
      <c r="J62" s="116" t="str">
        <f>IF(J57&lt;=J60,"Spełniona","Nie spełniona")</f>
        <v>Spełniona</v>
      </c>
      <c r="K62" s="115" t="s">
        <v>21</v>
      </c>
      <c r="L62" s="115" t="s">
        <v>21</v>
      </c>
      <c r="M62" s="117" t="s">
        <v>21</v>
      </c>
      <c r="N62" s="58" t="s">
        <v>21</v>
      </c>
      <c r="O62" s="68" t="str">
        <f>IF(O57&lt;=O60,"Spełniona","Nie spełniona")</f>
        <v>Spełniona</v>
      </c>
      <c r="P62" s="68" t="str">
        <f>IF(P57&lt;=P60,"Spełniona","Nie spełniona")</f>
        <v>Spełniona</v>
      </c>
      <c r="Q62" s="68" t="str">
        <f>IF(Q57&lt;=Q60,"Spełniona","Nie spełniona")</f>
        <v>Spełniona</v>
      </c>
      <c r="R62" s="68" t="str">
        <f>IF(R57&lt;=R60,"Spełniona","Nie spełniona")</f>
        <v>Spełniona</v>
      </c>
      <c r="S62" s="58" t="s">
        <v>21</v>
      </c>
      <c r="T62" s="58" t="s">
        <v>21</v>
      </c>
      <c r="U62" s="58" t="s">
        <v>21</v>
      </c>
      <c r="V62" s="58" t="s">
        <v>21</v>
      </c>
      <c r="W62" s="58" t="s">
        <v>21</v>
      </c>
      <c r="X62" s="58" t="s">
        <v>21</v>
      </c>
      <c r="Y62" s="58" t="s">
        <v>21</v>
      </c>
    </row>
    <row r="63" spans="1:25">
      <c r="A63" s="53">
        <v>10</v>
      </c>
      <c r="B63" s="54">
        <v>0</v>
      </c>
      <c r="C63" s="54"/>
      <c r="D63" s="55"/>
      <c r="E63" s="56" t="s">
        <v>117</v>
      </c>
      <c r="F63" s="61" t="s">
        <v>21</v>
      </c>
      <c r="G63" s="61" t="s">
        <v>21</v>
      </c>
      <c r="H63" s="61" t="s">
        <v>21</v>
      </c>
      <c r="I63" s="61" t="s">
        <v>21</v>
      </c>
      <c r="J63" s="42">
        <f>0</f>
        <v>0</v>
      </c>
      <c r="K63" s="61" t="s">
        <v>21</v>
      </c>
      <c r="L63" s="61" t="s">
        <v>21</v>
      </c>
      <c r="M63" s="62" t="s">
        <v>21</v>
      </c>
      <c r="N63" s="61" t="s">
        <v>21</v>
      </c>
      <c r="O63" s="42">
        <f>1546810.8</f>
        <v>1546810.8</v>
      </c>
      <c r="P63" s="42">
        <f>1663504.58</f>
        <v>1663504.58</v>
      </c>
      <c r="Q63" s="42">
        <f>1812207.13</f>
        <v>1812207.13</v>
      </c>
      <c r="R63" s="42">
        <f>1807700.56</f>
        <v>1807700.56</v>
      </c>
      <c r="S63" s="61" t="s">
        <v>21</v>
      </c>
      <c r="T63" s="61" t="s">
        <v>21</v>
      </c>
      <c r="U63" s="61" t="s">
        <v>21</v>
      </c>
      <c r="V63" s="61" t="s">
        <v>21</v>
      </c>
      <c r="W63" s="61" t="s">
        <v>21</v>
      </c>
      <c r="X63" s="61" t="s">
        <v>21</v>
      </c>
      <c r="Y63" s="61" t="s">
        <v>21</v>
      </c>
    </row>
    <row r="64" spans="1:25">
      <c r="A64" s="44" t="s">
        <v>118</v>
      </c>
      <c r="B64" s="45">
        <v>0</v>
      </c>
      <c r="C64" s="45"/>
      <c r="D64" s="46"/>
      <c r="E64" s="47" t="s">
        <v>119</v>
      </c>
      <c r="F64" s="58" t="s">
        <v>21</v>
      </c>
      <c r="G64" s="58" t="s">
        <v>21</v>
      </c>
      <c r="H64" s="58" t="s">
        <v>21</v>
      </c>
      <c r="I64" s="58" t="s">
        <v>21</v>
      </c>
      <c r="J64" s="48">
        <f>0</f>
        <v>0</v>
      </c>
      <c r="K64" s="58" t="s">
        <v>21</v>
      </c>
      <c r="L64" s="58" t="s">
        <v>21</v>
      </c>
      <c r="M64" s="59" t="s">
        <v>21</v>
      </c>
      <c r="N64" s="58" t="s">
        <v>21</v>
      </c>
      <c r="O64" s="48">
        <f>1546810.8</f>
        <v>1546810.8</v>
      </c>
      <c r="P64" s="48">
        <f>1663504.58</f>
        <v>1663504.58</v>
      </c>
      <c r="Q64" s="48">
        <f>1812207.13</f>
        <v>1812207.13</v>
      </c>
      <c r="R64" s="48">
        <f>1807700.56</f>
        <v>1807700.56</v>
      </c>
      <c r="S64" s="58" t="s">
        <v>21</v>
      </c>
      <c r="T64" s="58" t="s">
        <v>21</v>
      </c>
      <c r="U64" s="58" t="s">
        <v>21</v>
      </c>
      <c r="V64" s="58" t="s">
        <v>21</v>
      </c>
      <c r="W64" s="58" t="s">
        <v>21</v>
      </c>
      <c r="X64" s="58" t="s">
        <v>21</v>
      </c>
      <c r="Y64" s="58" t="s">
        <v>21</v>
      </c>
    </row>
    <row r="65" spans="1:25">
      <c r="A65" s="53">
        <v>11</v>
      </c>
      <c r="B65" s="54">
        <v>1</v>
      </c>
      <c r="C65" s="54"/>
      <c r="D65" s="55"/>
      <c r="E65" s="56" t="s">
        <v>120</v>
      </c>
      <c r="F65" s="61" t="s">
        <v>21</v>
      </c>
      <c r="G65" s="61" t="s">
        <v>21</v>
      </c>
      <c r="H65" s="61" t="s">
        <v>21</v>
      </c>
      <c r="I65" s="61" t="s">
        <v>21</v>
      </c>
      <c r="J65" s="61" t="s">
        <v>21</v>
      </c>
      <c r="K65" s="61" t="s">
        <v>21</v>
      </c>
      <c r="L65" s="61" t="s">
        <v>21</v>
      </c>
      <c r="M65" s="62" t="s">
        <v>21</v>
      </c>
      <c r="N65" s="61" t="s">
        <v>21</v>
      </c>
      <c r="O65" s="61" t="s">
        <v>21</v>
      </c>
      <c r="P65" s="61" t="s">
        <v>21</v>
      </c>
      <c r="Q65" s="61" t="s">
        <v>21</v>
      </c>
      <c r="R65" s="61" t="s">
        <v>21</v>
      </c>
      <c r="S65" s="61" t="s">
        <v>21</v>
      </c>
      <c r="T65" s="61" t="s">
        <v>21</v>
      </c>
      <c r="U65" s="61" t="s">
        <v>21</v>
      </c>
      <c r="V65" s="61" t="s">
        <v>21</v>
      </c>
      <c r="W65" s="61" t="s">
        <v>21</v>
      </c>
      <c r="X65" s="61" t="s">
        <v>21</v>
      </c>
      <c r="Y65" s="61" t="s">
        <v>21</v>
      </c>
    </row>
    <row r="66" spans="1:25">
      <c r="A66" s="44" t="s">
        <v>121</v>
      </c>
      <c r="B66" s="45">
        <v>1</v>
      </c>
      <c r="C66" s="45"/>
      <c r="D66" s="46"/>
      <c r="E66" s="47" t="s">
        <v>122</v>
      </c>
      <c r="F66" s="48">
        <f>11004973.7</f>
        <v>11004973.699999999</v>
      </c>
      <c r="G66" s="48">
        <f>11249607.24</f>
        <v>11249607.24</v>
      </c>
      <c r="H66" s="48">
        <f>12510660.34</f>
        <v>12510660.34</v>
      </c>
      <c r="I66" s="48">
        <f>11701805.08</f>
        <v>11701805.08</v>
      </c>
      <c r="J66" s="48">
        <f>12519568.67</f>
        <v>12519568.67</v>
      </c>
      <c r="K66" s="48">
        <f>12519168.67</f>
        <v>12519168.67</v>
      </c>
      <c r="L66" s="48">
        <f>6180483.47</f>
        <v>6180483.4699999997</v>
      </c>
      <c r="M66" s="49">
        <f>+IF(J66&lt;&gt;0,L66/J66,0)</f>
        <v>0.49366584687617676</v>
      </c>
      <c r="N66" s="50">
        <f>+IF(K66&lt;&gt;0,L66/K66,0)</f>
        <v>0.49368161999529958</v>
      </c>
      <c r="O66" s="48">
        <f>10309628.63</f>
        <v>10309628.630000001</v>
      </c>
      <c r="P66" s="48">
        <f>10515821.2</f>
        <v>10515821.199999999</v>
      </c>
      <c r="Q66" s="48">
        <f>10726137.62</f>
        <v>10726137.619999999</v>
      </c>
      <c r="R66" s="48">
        <f>10940660.37</f>
        <v>10940660.369999999</v>
      </c>
      <c r="S66" s="43">
        <f>+IF(F66&lt;&gt;0,G66/F66-1,"")</f>
        <v>2.22293616203737E-2</v>
      </c>
      <c r="T66" s="43">
        <f>+IF(G66&lt;&gt;0,I66/G66-1,"")</f>
        <v>4.0196766905081782E-2</v>
      </c>
      <c r="U66" s="43">
        <f>+IF(I66&lt;&gt;0,J66/I66-1,"")</f>
        <v>6.9883542274829846E-2</v>
      </c>
      <c r="V66" s="43">
        <f>+IF(J66&lt;&gt;0,O66/J66-1,"")</f>
        <v>-0.17651886404805339</v>
      </c>
      <c r="W66" s="43">
        <f t="shared" ref="W66:Y67" si="14">+IF(O66&lt;&gt;0,P66/O66-1,"")</f>
        <v>1.9999999747808417E-2</v>
      </c>
      <c r="X66" s="43">
        <f t="shared" si="14"/>
        <v>1.9999999619620734E-2</v>
      </c>
      <c r="Y66" s="43">
        <f t="shared" si="14"/>
        <v>1.9999999776247446E-2</v>
      </c>
    </row>
    <row r="67" spans="1:25">
      <c r="A67" s="44" t="s">
        <v>123</v>
      </c>
      <c r="B67" s="45">
        <v>1</v>
      </c>
      <c r="C67" s="45"/>
      <c r="D67" s="46"/>
      <c r="E67" s="47" t="s">
        <v>124</v>
      </c>
      <c r="F67" s="48">
        <f>3478650.35</f>
        <v>3478650.35</v>
      </c>
      <c r="G67" s="48">
        <f>3499807.16</f>
        <v>3499807.16</v>
      </c>
      <c r="H67" s="48">
        <f>3761790.85</f>
        <v>3761790.85</v>
      </c>
      <c r="I67" s="48">
        <f>3473218.81</f>
        <v>3473218.81</v>
      </c>
      <c r="J67" s="48">
        <f>3388654.79</f>
        <v>3388654.79</v>
      </c>
      <c r="K67" s="48">
        <f>3379654.79</f>
        <v>3379654.79</v>
      </c>
      <c r="L67" s="48">
        <f>1521764.99</f>
        <v>1521764.99</v>
      </c>
      <c r="M67" s="49">
        <f>+IF(J67&lt;&gt;0,L67/J67,0)</f>
        <v>0.44907642834872535</v>
      </c>
      <c r="N67" s="50">
        <f>+IF(K67&lt;&gt;0,L67/K67,0)</f>
        <v>0.45027231612610941</v>
      </c>
      <c r="O67" s="48">
        <f>3956279.98</f>
        <v>3956279.98</v>
      </c>
      <c r="P67" s="48">
        <f>4035405.58</f>
        <v>4035405.58</v>
      </c>
      <c r="Q67" s="48">
        <f>4116113.69</f>
        <v>4116113.69</v>
      </c>
      <c r="R67" s="48">
        <f>4198435.96</f>
        <v>4198435.96</v>
      </c>
      <c r="S67" s="43">
        <f>+IF(F67&lt;&gt;0,G67/F67-1,"")</f>
        <v>6.0819018502391575E-3</v>
      </c>
      <c r="T67" s="43">
        <f>+IF(G67&lt;&gt;0,I67/G67-1,"")</f>
        <v>-7.5970900065248648E-3</v>
      </c>
      <c r="U67" s="43">
        <f>+IF(I67&lt;&gt;0,J67/I67-1,"")</f>
        <v>-2.4347449621234807E-2</v>
      </c>
      <c r="V67" s="43">
        <f>+IF(J67&lt;&gt;0,O67/J67-1,"")</f>
        <v>0.16750752885040843</v>
      </c>
      <c r="W67" s="43">
        <f t="shared" si="14"/>
        <v>2.0000000101105142E-2</v>
      </c>
      <c r="X67" s="43">
        <f t="shared" si="14"/>
        <v>1.99999996035094E-2</v>
      </c>
      <c r="Y67" s="43">
        <f t="shared" si="14"/>
        <v>1.9999999076799169E-2</v>
      </c>
    </row>
    <row r="68" spans="1:25">
      <c r="A68" s="44" t="s">
        <v>125</v>
      </c>
      <c r="B68" s="45">
        <v>0</v>
      </c>
      <c r="C68" s="45"/>
      <c r="D68" s="46"/>
      <c r="E68" s="47" t="s">
        <v>126</v>
      </c>
      <c r="F68" s="58" t="s">
        <v>21</v>
      </c>
      <c r="G68" s="58" t="s">
        <v>21</v>
      </c>
      <c r="H68" s="58" t="s">
        <v>21</v>
      </c>
      <c r="I68" s="58" t="s">
        <v>21</v>
      </c>
      <c r="J68" s="48">
        <f>10014879.04</f>
        <v>10014879.039999999</v>
      </c>
      <c r="K68" s="58" t="s">
        <v>21</v>
      </c>
      <c r="L68" s="58" t="s">
        <v>21</v>
      </c>
      <c r="M68" s="59" t="s">
        <v>21</v>
      </c>
      <c r="N68" s="58" t="s">
        <v>21</v>
      </c>
      <c r="O68" s="48">
        <f>12322048.26</f>
        <v>12322048.26</v>
      </c>
      <c r="P68" s="48">
        <f>5272352.78</f>
        <v>5272352.78</v>
      </c>
      <c r="Q68" s="48">
        <f>7784200.52</f>
        <v>7784200.5199999996</v>
      </c>
      <c r="R68" s="48">
        <f>4810277.12</f>
        <v>4810277.12</v>
      </c>
      <c r="S68" s="58" t="s">
        <v>21</v>
      </c>
      <c r="T68" s="58" t="s">
        <v>21</v>
      </c>
      <c r="U68" s="58" t="s">
        <v>21</v>
      </c>
      <c r="V68" s="58" t="s">
        <v>21</v>
      </c>
      <c r="W68" s="58" t="s">
        <v>21</v>
      </c>
      <c r="X68" s="58" t="s">
        <v>21</v>
      </c>
      <c r="Y68" s="58" t="s">
        <v>21</v>
      </c>
    </row>
    <row r="69" spans="1:25">
      <c r="A69" s="44" t="s">
        <v>127</v>
      </c>
      <c r="B69" s="45">
        <v>0</v>
      </c>
      <c r="C69" s="45"/>
      <c r="D69" s="46"/>
      <c r="E69" s="51" t="s">
        <v>128</v>
      </c>
      <c r="F69" s="58" t="s">
        <v>21</v>
      </c>
      <c r="G69" s="58" t="s">
        <v>21</v>
      </c>
      <c r="H69" s="58" t="s">
        <v>21</v>
      </c>
      <c r="I69" s="58" t="s">
        <v>21</v>
      </c>
      <c r="J69" s="48">
        <f>0</f>
        <v>0</v>
      </c>
      <c r="K69" s="58" t="s">
        <v>21</v>
      </c>
      <c r="L69" s="58" t="s">
        <v>21</v>
      </c>
      <c r="M69" s="59" t="s">
        <v>21</v>
      </c>
      <c r="N69" s="58" t="s">
        <v>21</v>
      </c>
      <c r="O69" s="48">
        <f>0</f>
        <v>0</v>
      </c>
      <c r="P69" s="48">
        <f>0</f>
        <v>0</v>
      </c>
      <c r="Q69" s="48">
        <f>0</f>
        <v>0</v>
      </c>
      <c r="R69" s="48">
        <f>0</f>
        <v>0</v>
      </c>
      <c r="S69" s="58" t="s">
        <v>21</v>
      </c>
      <c r="T69" s="58" t="s">
        <v>21</v>
      </c>
      <c r="U69" s="58" t="s">
        <v>21</v>
      </c>
      <c r="V69" s="58" t="s">
        <v>21</v>
      </c>
      <c r="W69" s="58" t="s">
        <v>21</v>
      </c>
      <c r="X69" s="58" t="s">
        <v>21</v>
      </c>
      <c r="Y69" s="58" t="s">
        <v>21</v>
      </c>
    </row>
    <row r="70" spans="1:25">
      <c r="A70" s="44" t="s">
        <v>129</v>
      </c>
      <c r="B70" s="45">
        <v>0</v>
      </c>
      <c r="C70" s="45"/>
      <c r="D70" s="46"/>
      <c r="E70" s="51" t="s">
        <v>130</v>
      </c>
      <c r="F70" s="58" t="s">
        <v>21</v>
      </c>
      <c r="G70" s="58" t="s">
        <v>21</v>
      </c>
      <c r="H70" s="58" t="s">
        <v>21</v>
      </c>
      <c r="I70" s="58" t="s">
        <v>21</v>
      </c>
      <c r="J70" s="48">
        <f>10014879.04</f>
        <v>10014879.039999999</v>
      </c>
      <c r="K70" s="58" t="s">
        <v>21</v>
      </c>
      <c r="L70" s="58" t="s">
        <v>21</v>
      </c>
      <c r="M70" s="59" t="s">
        <v>21</v>
      </c>
      <c r="N70" s="58" t="s">
        <v>21</v>
      </c>
      <c r="O70" s="48">
        <f>12322048.26</f>
        <v>12322048.26</v>
      </c>
      <c r="P70" s="48">
        <f>5272352.78</f>
        <v>5272352.78</v>
      </c>
      <c r="Q70" s="48">
        <f>7784200.52</f>
        <v>7784200.5199999996</v>
      </c>
      <c r="R70" s="48">
        <f>4810277.12</f>
        <v>4810277.12</v>
      </c>
      <c r="S70" s="58" t="s">
        <v>21</v>
      </c>
      <c r="T70" s="58" t="s">
        <v>21</v>
      </c>
      <c r="U70" s="58" t="s">
        <v>21</v>
      </c>
      <c r="V70" s="58" t="s">
        <v>21</v>
      </c>
      <c r="W70" s="58" t="s">
        <v>21</v>
      </c>
      <c r="X70" s="58" t="s">
        <v>21</v>
      </c>
      <c r="Y70" s="58" t="s">
        <v>21</v>
      </c>
    </row>
    <row r="71" spans="1:25">
      <c r="A71" s="44" t="s">
        <v>131</v>
      </c>
      <c r="B71" s="45">
        <v>1</v>
      </c>
      <c r="C71" s="45"/>
      <c r="D71" s="46"/>
      <c r="E71" s="47" t="s">
        <v>132</v>
      </c>
      <c r="F71" s="91">
        <f>4823204.02</f>
        <v>4823204.0199999996</v>
      </c>
      <c r="G71" s="91">
        <f>5490946.78</f>
        <v>5490946.7800000003</v>
      </c>
      <c r="H71" s="93">
        <f>10254498.12</f>
        <v>10254498.119999999</v>
      </c>
      <c r="I71" s="93">
        <f>2574865.8</f>
        <v>2574865.7999999998</v>
      </c>
      <c r="J71" s="48">
        <f>7300869.35</f>
        <v>7300869.3499999996</v>
      </c>
      <c r="K71" s="93">
        <f>10014879.04</f>
        <v>10014879.039999999</v>
      </c>
      <c r="L71" s="93">
        <f>3526647.38</f>
        <v>3526647.38</v>
      </c>
      <c r="M71" s="95">
        <f>+IF((J71+J72)&lt;&gt;0,L71/(J71+J72),0)</f>
        <v>0.35214078631547807</v>
      </c>
      <c r="N71" s="97">
        <f>+IF(K71&lt;&gt;0,L71/K71,0)</f>
        <v>0.35214078631547807</v>
      </c>
      <c r="O71" s="48">
        <f>11741166.26</f>
        <v>11741166.26</v>
      </c>
      <c r="P71" s="48">
        <f>3651588.97</f>
        <v>3651588.97</v>
      </c>
      <c r="Q71" s="48">
        <f>4043655.78</f>
        <v>4043655.78</v>
      </c>
      <c r="R71" s="48">
        <f>4810277.12</f>
        <v>4810277.12</v>
      </c>
      <c r="S71" s="99">
        <f>+IF(F71&lt;&gt;0,G71/F71-1,"")</f>
        <v>0.13844381395253547</v>
      </c>
      <c r="T71" s="99">
        <f>+IF(G71&lt;&gt;0,I71/G71-1,"")</f>
        <v>-0.53107070544216795</v>
      </c>
      <c r="U71" s="89">
        <f>+IF(I71&lt;&gt;0,(J72+J71)/I71-1,"")</f>
        <v>2.8894761194932954</v>
      </c>
      <c r="V71" s="89">
        <f>+IF((J71+J72)&lt;&gt;0,(O72+O71)/(J71+J72)-1,"")</f>
        <v>0.23037414738460993</v>
      </c>
      <c r="W71" s="89">
        <f>+IF((O71+O72)&lt;&gt;0,(P72+P71)/(O71+O72)-1,"")</f>
        <v>-0.5721204244009348</v>
      </c>
      <c r="X71" s="89">
        <f>+IF((P71+P72)&lt;&gt;0,(Q72+Q71)/(P71+P72)-1,"")</f>
        <v>0.47641875360244756</v>
      </c>
      <c r="Y71" s="89">
        <f>+IF((Q71+Q72)&lt;&gt;0,(R72+R71)/(Q71+Q72)-1,"")</f>
        <v>-0.38204609354025221</v>
      </c>
    </row>
    <row r="72" spans="1:25">
      <c r="A72" s="44" t="s">
        <v>133</v>
      </c>
      <c r="B72" s="45">
        <v>1</v>
      </c>
      <c r="C72" s="45"/>
      <c r="D72" s="46"/>
      <c r="E72" s="47" t="s">
        <v>134</v>
      </c>
      <c r="F72" s="109"/>
      <c r="G72" s="109"/>
      <c r="H72" s="110"/>
      <c r="I72" s="110"/>
      <c r="J72" s="48">
        <f>2714009.69</f>
        <v>2714009.69</v>
      </c>
      <c r="K72" s="110"/>
      <c r="L72" s="110"/>
      <c r="M72" s="96"/>
      <c r="N72" s="98"/>
      <c r="O72" s="48">
        <f>580882</f>
        <v>580882</v>
      </c>
      <c r="P72" s="48">
        <f>1620763.81</f>
        <v>1620763.81</v>
      </c>
      <c r="Q72" s="48">
        <f>3740544.74</f>
        <v>3740544.74</v>
      </c>
      <c r="R72" s="48">
        <f>0</f>
        <v>0</v>
      </c>
      <c r="S72" s="100"/>
      <c r="T72" s="100"/>
      <c r="U72" s="90"/>
      <c r="V72" s="90"/>
      <c r="W72" s="90"/>
      <c r="X72" s="90"/>
      <c r="Y72" s="90"/>
    </row>
    <row r="73" spans="1:25">
      <c r="A73" s="44" t="s">
        <v>135</v>
      </c>
      <c r="B73" s="45">
        <v>1</v>
      </c>
      <c r="C73" s="45"/>
      <c r="D73" s="46"/>
      <c r="E73" s="47" t="s">
        <v>136</v>
      </c>
      <c r="F73" s="48">
        <f>0</f>
        <v>0</v>
      </c>
      <c r="G73" s="48">
        <f>0</f>
        <v>0</v>
      </c>
      <c r="H73" s="48">
        <f>100000</f>
        <v>100000</v>
      </c>
      <c r="I73" s="48">
        <f>0</f>
        <v>0</v>
      </c>
      <c r="J73" s="48">
        <f>0</f>
        <v>0</v>
      </c>
      <c r="K73" s="48">
        <f>0</f>
        <v>0</v>
      </c>
      <c r="L73" s="48">
        <f>0</f>
        <v>0</v>
      </c>
      <c r="M73" s="49">
        <f>+IF(J73&lt;&gt;0,L73/J73,0)</f>
        <v>0</v>
      </c>
      <c r="N73" s="50">
        <f>+IF(K73&lt;&gt;0,L73/K73,0)</f>
        <v>0</v>
      </c>
      <c r="O73" s="48">
        <f>0</f>
        <v>0</v>
      </c>
      <c r="P73" s="48">
        <f>0</f>
        <v>0</v>
      </c>
      <c r="Q73" s="48">
        <f>0</f>
        <v>0</v>
      </c>
      <c r="R73" s="48">
        <f>0</f>
        <v>0</v>
      </c>
      <c r="S73" s="43" t="str">
        <f>+IF(F73&lt;&gt;0,G73/F73-1,"")</f>
        <v/>
      </c>
      <c r="T73" s="43" t="str">
        <f>+IF(G73&lt;&gt;0,I73/G73-1,"")</f>
        <v/>
      </c>
      <c r="U73" s="43" t="str">
        <f>+IF(I73&lt;&gt;0,J73/I73-1,"")</f>
        <v/>
      </c>
      <c r="V73" s="43" t="str">
        <f>+IF(J73&lt;&gt;0,O73/J73-1,"")</f>
        <v/>
      </c>
      <c r="W73" s="43" t="str">
        <f>+IF(O73&lt;&gt;0,P73/O73-1,"")</f>
        <v/>
      </c>
      <c r="X73" s="43" t="str">
        <f>+IF(P73&lt;&gt;0,Q73/P73-1,"")</f>
        <v/>
      </c>
      <c r="Y73" s="43" t="str">
        <f>+IF(Q73&lt;&gt;0,R73/Q73-1,"")</f>
        <v/>
      </c>
    </row>
    <row r="74" spans="1:25" ht="24">
      <c r="A74" s="53">
        <v>12</v>
      </c>
      <c r="B74" s="54">
        <v>1</v>
      </c>
      <c r="C74" s="54"/>
      <c r="D74" s="55"/>
      <c r="E74" s="56" t="s">
        <v>137</v>
      </c>
      <c r="F74" s="61" t="s">
        <v>21</v>
      </c>
      <c r="G74" s="61" t="s">
        <v>21</v>
      </c>
      <c r="H74" s="61" t="s">
        <v>21</v>
      </c>
      <c r="I74" s="61" t="s">
        <v>21</v>
      </c>
      <c r="J74" s="61" t="s">
        <v>21</v>
      </c>
      <c r="K74" s="61" t="s">
        <v>21</v>
      </c>
      <c r="L74" s="61" t="s">
        <v>21</v>
      </c>
      <c r="M74" s="62" t="s">
        <v>21</v>
      </c>
      <c r="N74" s="61" t="s">
        <v>21</v>
      </c>
      <c r="O74" s="61" t="s">
        <v>21</v>
      </c>
      <c r="P74" s="61" t="s">
        <v>21</v>
      </c>
      <c r="Q74" s="61" t="s">
        <v>21</v>
      </c>
      <c r="R74" s="61" t="s">
        <v>21</v>
      </c>
      <c r="S74" s="61" t="s">
        <v>21</v>
      </c>
      <c r="T74" s="61" t="s">
        <v>21</v>
      </c>
      <c r="U74" s="61" t="s">
        <v>21</v>
      </c>
      <c r="V74" s="61" t="s">
        <v>21</v>
      </c>
      <c r="W74" s="61" t="s">
        <v>21</v>
      </c>
      <c r="X74" s="61" t="s">
        <v>21</v>
      </c>
      <c r="Y74" s="61" t="s">
        <v>21</v>
      </c>
    </row>
    <row r="75" spans="1:25" ht="24">
      <c r="A75" s="44" t="s">
        <v>138</v>
      </c>
      <c r="B75" s="45">
        <v>1</v>
      </c>
      <c r="C75" s="45"/>
      <c r="D75" s="46"/>
      <c r="E75" s="47" t="s">
        <v>139</v>
      </c>
      <c r="F75" s="48">
        <f>446349.11</f>
        <v>446349.11</v>
      </c>
      <c r="G75" s="48">
        <f>381530.82</f>
        <v>381530.82</v>
      </c>
      <c r="H75" s="48">
        <f>3799.19</f>
        <v>3799.19</v>
      </c>
      <c r="I75" s="48">
        <f>3799.19</f>
        <v>3799.19</v>
      </c>
      <c r="J75" s="48">
        <f>0</f>
        <v>0</v>
      </c>
      <c r="K75" s="48">
        <f>0</f>
        <v>0</v>
      </c>
      <c r="L75" s="48">
        <f>0</f>
        <v>0</v>
      </c>
      <c r="M75" s="49">
        <f>+IF(J75&lt;&gt;0,L75/J75,0)</f>
        <v>0</v>
      </c>
      <c r="N75" s="50">
        <f>+IF(K75&lt;&gt;0,L75/K75,0)</f>
        <v>0</v>
      </c>
      <c r="O75" s="48">
        <f>0</f>
        <v>0</v>
      </c>
      <c r="P75" s="48">
        <f>0</f>
        <v>0</v>
      </c>
      <c r="Q75" s="48">
        <f>0</f>
        <v>0</v>
      </c>
      <c r="R75" s="48">
        <f>0</f>
        <v>0</v>
      </c>
      <c r="S75" s="43">
        <f>+IF(F75&lt;&gt;0,G75/F75-1,"")</f>
        <v>-0.14521881762013589</v>
      </c>
      <c r="T75" s="43">
        <f>+IF(G75&lt;&gt;0,I75/G75-1,"")</f>
        <v>-0.9900422461283731</v>
      </c>
      <c r="U75" s="43">
        <f>+IF(I75&lt;&gt;0,J75/I75-1,"")</f>
        <v>-1</v>
      </c>
      <c r="V75" s="43" t="str">
        <f>+IF(J75&lt;&gt;0,O75/J75-1,"")</f>
        <v/>
      </c>
      <c r="W75" s="43" t="str">
        <f t="shared" ref="W75:Y76" si="15">+IF(O75&lt;&gt;0,P75/O75-1,"")</f>
        <v/>
      </c>
      <c r="X75" s="43" t="str">
        <f t="shared" si="15"/>
        <v/>
      </c>
      <c r="Y75" s="43" t="str">
        <f t="shared" si="15"/>
        <v/>
      </c>
    </row>
    <row r="76" spans="1:25">
      <c r="A76" s="44" t="s">
        <v>140</v>
      </c>
      <c r="B76" s="45">
        <v>1</v>
      </c>
      <c r="C76" s="45"/>
      <c r="D76" s="46"/>
      <c r="E76" s="51" t="s">
        <v>141</v>
      </c>
      <c r="F76" s="48">
        <f>415880.87</f>
        <v>415880.87</v>
      </c>
      <c r="G76" s="48">
        <f>353653.06</f>
        <v>353653.06</v>
      </c>
      <c r="H76" s="48">
        <f>3590.23</f>
        <v>3590.23</v>
      </c>
      <c r="I76" s="48">
        <f>3590.23</f>
        <v>3590.23</v>
      </c>
      <c r="J76" s="48">
        <f>0</f>
        <v>0</v>
      </c>
      <c r="K76" s="48">
        <f>0</f>
        <v>0</v>
      </c>
      <c r="L76" s="48">
        <f>0</f>
        <v>0</v>
      </c>
      <c r="M76" s="49">
        <f>+IF(J76&lt;&gt;0,L76/J76,0)</f>
        <v>0</v>
      </c>
      <c r="N76" s="50">
        <f>+IF(K76&lt;&gt;0,L76/K76,0)</f>
        <v>0</v>
      </c>
      <c r="O76" s="48">
        <f>0</f>
        <v>0</v>
      </c>
      <c r="P76" s="48">
        <f>0</f>
        <v>0</v>
      </c>
      <c r="Q76" s="48">
        <f>0</f>
        <v>0</v>
      </c>
      <c r="R76" s="48">
        <f>0</f>
        <v>0</v>
      </c>
      <c r="S76" s="43">
        <f>+IF(F76&lt;&gt;0,G76/F76-1,"")</f>
        <v>-0.14962893099651353</v>
      </c>
      <c r="T76" s="43">
        <f>+IF(G76&lt;&gt;0,I76/G76-1,"")</f>
        <v>-0.98984815796588899</v>
      </c>
      <c r="U76" s="43">
        <f>+IF(I76&lt;&gt;0,J76/I76-1,"")</f>
        <v>-1</v>
      </c>
      <c r="V76" s="43" t="str">
        <f>+IF(J76&lt;&gt;0,O76/J76-1,"")</f>
        <v/>
      </c>
      <c r="W76" s="43" t="str">
        <f t="shared" si="15"/>
        <v/>
      </c>
      <c r="X76" s="43" t="str">
        <f t="shared" si="15"/>
        <v/>
      </c>
      <c r="Y76" s="43" t="str">
        <f t="shared" si="15"/>
        <v/>
      </c>
    </row>
    <row r="77" spans="1:25" ht="24">
      <c r="A77" s="44" t="s">
        <v>142</v>
      </c>
      <c r="B77" s="45">
        <v>0</v>
      </c>
      <c r="C77" s="45"/>
      <c r="D77" s="46"/>
      <c r="E77" s="52" t="s">
        <v>143</v>
      </c>
      <c r="F77" s="58" t="s">
        <v>21</v>
      </c>
      <c r="G77" s="58" t="s">
        <v>21</v>
      </c>
      <c r="H77" s="58" t="s">
        <v>21</v>
      </c>
      <c r="I77" s="58" t="s">
        <v>21</v>
      </c>
      <c r="J77" s="48">
        <f>0</f>
        <v>0</v>
      </c>
      <c r="K77" s="58" t="s">
        <v>21</v>
      </c>
      <c r="L77" s="58" t="s">
        <v>21</v>
      </c>
      <c r="M77" s="59" t="s">
        <v>21</v>
      </c>
      <c r="N77" s="58" t="s">
        <v>21</v>
      </c>
      <c r="O77" s="48">
        <f>0</f>
        <v>0</v>
      </c>
      <c r="P77" s="48">
        <f>0</f>
        <v>0</v>
      </c>
      <c r="Q77" s="48">
        <f>0</f>
        <v>0</v>
      </c>
      <c r="R77" s="48">
        <f>0</f>
        <v>0</v>
      </c>
      <c r="S77" s="58" t="s">
        <v>21</v>
      </c>
      <c r="T77" s="58" t="s">
        <v>21</v>
      </c>
      <c r="U77" s="58" t="s">
        <v>21</v>
      </c>
      <c r="V77" s="58" t="s">
        <v>21</v>
      </c>
      <c r="W77" s="58" t="s">
        <v>21</v>
      </c>
      <c r="X77" s="58" t="s">
        <v>21</v>
      </c>
      <c r="Y77" s="58" t="s">
        <v>21</v>
      </c>
    </row>
    <row r="78" spans="1:25" ht="24">
      <c r="A78" s="44" t="s">
        <v>144</v>
      </c>
      <c r="B78" s="45">
        <v>1</v>
      </c>
      <c r="C78" s="45"/>
      <c r="D78" s="46"/>
      <c r="E78" s="47" t="s">
        <v>145</v>
      </c>
      <c r="F78" s="48">
        <f>932993.15</f>
        <v>932993.15</v>
      </c>
      <c r="G78" s="48">
        <f>188419.32</f>
        <v>188419.32</v>
      </c>
      <c r="H78" s="48">
        <f>1591026.7</f>
        <v>1591026.7</v>
      </c>
      <c r="I78" s="48">
        <f>1159860.43</f>
        <v>1159860.43</v>
      </c>
      <c r="J78" s="48">
        <f>1677969.28</f>
        <v>1677969.28</v>
      </c>
      <c r="K78" s="48">
        <f>1650294.28</f>
        <v>1650294.28</v>
      </c>
      <c r="L78" s="48">
        <f>0</f>
        <v>0</v>
      </c>
      <c r="M78" s="49">
        <f>+IF(J78&lt;&gt;0,L78/J78,0)</f>
        <v>0</v>
      </c>
      <c r="N78" s="50">
        <f>+IF(K78&lt;&gt;0,L78/K78,0)</f>
        <v>0</v>
      </c>
      <c r="O78" s="48">
        <f>0</f>
        <v>0</v>
      </c>
      <c r="P78" s="48">
        <f>0</f>
        <v>0</v>
      </c>
      <c r="Q78" s="48">
        <f>0</f>
        <v>0</v>
      </c>
      <c r="R78" s="48">
        <f>0</f>
        <v>0</v>
      </c>
      <c r="S78" s="43">
        <f>+IF(F78&lt;&gt;0,G78/F78-1,"")</f>
        <v>-0.79804854944540593</v>
      </c>
      <c r="T78" s="43">
        <f>+IF(G78&lt;&gt;0,I78/G78-1,"")</f>
        <v>5.1557404516691809</v>
      </c>
      <c r="U78" s="43">
        <f>+IF(I78&lt;&gt;0,J78/I78-1,"")</f>
        <v>0.44669930674331226</v>
      </c>
      <c r="V78" s="43">
        <f>+IF(J78&lt;&gt;0,O78/J78-1,"")</f>
        <v>-1</v>
      </c>
      <c r="W78" s="43" t="str">
        <f t="shared" ref="W78:Y79" si="16">+IF(O78&lt;&gt;0,P78/O78-1,"")</f>
        <v/>
      </c>
      <c r="X78" s="43" t="str">
        <f t="shared" si="16"/>
        <v/>
      </c>
      <c r="Y78" s="43" t="str">
        <f t="shared" si="16"/>
        <v/>
      </c>
    </row>
    <row r="79" spans="1:25">
      <c r="A79" s="44" t="s">
        <v>146</v>
      </c>
      <c r="B79" s="45">
        <v>1</v>
      </c>
      <c r="C79" s="45"/>
      <c r="D79" s="46"/>
      <c r="E79" s="51" t="s">
        <v>147</v>
      </c>
      <c r="F79" s="48">
        <f>932993.15</f>
        <v>932993.15</v>
      </c>
      <c r="G79" s="48">
        <f>188419.32</f>
        <v>188419.32</v>
      </c>
      <c r="H79" s="48">
        <f>1571162.2</f>
        <v>1571162.2</v>
      </c>
      <c r="I79" s="48">
        <f>1159860.43</f>
        <v>1159860.43</v>
      </c>
      <c r="J79" s="48">
        <f>1650294.28</f>
        <v>1650294.28</v>
      </c>
      <c r="K79" s="48">
        <f>1650294.28</f>
        <v>1650294.28</v>
      </c>
      <c r="L79" s="48">
        <f>0</f>
        <v>0</v>
      </c>
      <c r="M79" s="49">
        <f>+IF(J79&lt;&gt;0,L79/J79,0)</f>
        <v>0</v>
      </c>
      <c r="N79" s="50">
        <f>+IF(K79&lt;&gt;0,L79/K79,0)</f>
        <v>0</v>
      </c>
      <c r="O79" s="48">
        <f>0</f>
        <v>0</v>
      </c>
      <c r="P79" s="48">
        <f>0</f>
        <v>0</v>
      </c>
      <c r="Q79" s="48">
        <f>0</f>
        <v>0</v>
      </c>
      <c r="R79" s="48">
        <f>0</f>
        <v>0</v>
      </c>
      <c r="S79" s="43">
        <f>+IF(F79&lt;&gt;0,G79/F79-1,"")</f>
        <v>-0.79804854944540593</v>
      </c>
      <c r="T79" s="43">
        <f>+IF(G79&lt;&gt;0,I79/G79-1,"")</f>
        <v>5.1557404516691809</v>
      </c>
      <c r="U79" s="43">
        <f>+IF(I79&lt;&gt;0,J79/I79-1,"")</f>
        <v>0.4228386772363637</v>
      </c>
      <c r="V79" s="43">
        <f>+IF(J79&lt;&gt;0,O79/J79-1,"")</f>
        <v>-1</v>
      </c>
      <c r="W79" s="43" t="str">
        <f t="shared" si="16"/>
        <v/>
      </c>
      <c r="X79" s="43" t="str">
        <f t="shared" si="16"/>
        <v/>
      </c>
      <c r="Y79" s="43" t="str">
        <f t="shared" si="16"/>
        <v/>
      </c>
    </row>
    <row r="80" spans="1:25" ht="24">
      <c r="A80" s="44" t="s">
        <v>148</v>
      </c>
      <c r="B80" s="45">
        <v>0</v>
      </c>
      <c r="C80" s="45"/>
      <c r="D80" s="46"/>
      <c r="E80" s="52" t="s">
        <v>149</v>
      </c>
      <c r="F80" s="58" t="s">
        <v>21</v>
      </c>
      <c r="G80" s="58" t="s">
        <v>21</v>
      </c>
      <c r="H80" s="58" t="s">
        <v>21</v>
      </c>
      <c r="I80" s="58" t="s">
        <v>21</v>
      </c>
      <c r="J80" s="48">
        <f>0</f>
        <v>0</v>
      </c>
      <c r="K80" s="58" t="s">
        <v>21</v>
      </c>
      <c r="L80" s="58" t="s">
        <v>21</v>
      </c>
      <c r="M80" s="59" t="s">
        <v>21</v>
      </c>
      <c r="N80" s="58" t="s">
        <v>21</v>
      </c>
      <c r="O80" s="48">
        <f>0</f>
        <v>0</v>
      </c>
      <c r="P80" s="48">
        <f>0</f>
        <v>0</v>
      </c>
      <c r="Q80" s="48">
        <f>0</f>
        <v>0</v>
      </c>
      <c r="R80" s="48">
        <f>0</f>
        <v>0</v>
      </c>
      <c r="S80" s="58" t="s">
        <v>21</v>
      </c>
      <c r="T80" s="58" t="s">
        <v>21</v>
      </c>
      <c r="U80" s="58" t="s">
        <v>21</v>
      </c>
      <c r="V80" s="58" t="s">
        <v>21</v>
      </c>
      <c r="W80" s="58" t="s">
        <v>21</v>
      </c>
      <c r="X80" s="58" t="s">
        <v>21</v>
      </c>
      <c r="Y80" s="58" t="s">
        <v>21</v>
      </c>
    </row>
    <row r="81" spans="1:25" ht="24">
      <c r="A81" s="44" t="s">
        <v>150</v>
      </c>
      <c r="B81" s="45">
        <v>1</v>
      </c>
      <c r="C81" s="45"/>
      <c r="D81" s="46"/>
      <c r="E81" s="47" t="s">
        <v>151</v>
      </c>
      <c r="F81" s="48">
        <f>427810.26</f>
        <v>427810.26</v>
      </c>
      <c r="G81" s="48">
        <f>425807.43</f>
        <v>425807.43</v>
      </c>
      <c r="H81" s="48">
        <f>17667.69</f>
        <v>17667.689999999999</v>
      </c>
      <c r="I81" s="48">
        <f>17467.78</f>
        <v>17467.78</v>
      </c>
      <c r="J81" s="48">
        <f>0</f>
        <v>0</v>
      </c>
      <c r="K81" s="48">
        <f>0</f>
        <v>0</v>
      </c>
      <c r="L81" s="48">
        <f>0</f>
        <v>0</v>
      </c>
      <c r="M81" s="49">
        <f>+IF(J81&lt;&gt;0,L81/J81,0)</f>
        <v>0</v>
      </c>
      <c r="N81" s="50">
        <f>+IF(K81&lt;&gt;0,L81/K81,0)</f>
        <v>0</v>
      </c>
      <c r="O81" s="48">
        <f>0</f>
        <v>0</v>
      </c>
      <c r="P81" s="48">
        <f>0</f>
        <v>0</v>
      </c>
      <c r="Q81" s="48">
        <f>0</f>
        <v>0</v>
      </c>
      <c r="R81" s="48">
        <f>0</f>
        <v>0</v>
      </c>
      <c r="S81" s="43">
        <f>+IF(F81&lt;&gt;0,G81/F81-1,"")</f>
        <v>-4.6815847754563267E-3</v>
      </c>
      <c r="T81" s="43">
        <f>+IF(G81&lt;&gt;0,I81/G81-1,"")</f>
        <v>-0.9589772775923614</v>
      </c>
      <c r="U81" s="43">
        <f>+IF(I81&lt;&gt;0,J81/I81-1,"")</f>
        <v>-1</v>
      </c>
      <c r="V81" s="43" t="str">
        <f>+IF(J81&lt;&gt;0,O81/J81-1,"")</f>
        <v/>
      </c>
      <c r="W81" s="43" t="str">
        <f t="shared" ref="W81:Y82" si="17">+IF(O81&lt;&gt;0,P81/O81-1,"")</f>
        <v/>
      </c>
      <c r="X81" s="43" t="str">
        <f t="shared" si="17"/>
        <v/>
      </c>
      <c r="Y81" s="43" t="str">
        <f t="shared" si="17"/>
        <v/>
      </c>
    </row>
    <row r="82" spans="1:25">
      <c r="A82" s="44" t="s">
        <v>152</v>
      </c>
      <c r="B82" s="45">
        <v>1</v>
      </c>
      <c r="C82" s="45"/>
      <c r="D82" s="46"/>
      <c r="E82" s="51" t="s">
        <v>153</v>
      </c>
      <c r="F82" s="48">
        <f>397342.02</f>
        <v>397342.02</v>
      </c>
      <c r="G82" s="48">
        <f>398729.03</f>
        <v>398729.03</v>
      </c>
      <c r="H82" s="48">
        <f>15445.8</f>
        <v>15445.8</v>
      </c>
      <c r="I82" s="48">
        <f>15416.94</f>
        <v>15416.94</v>
      </c>
      <c r="J82" s="48">
        <f>0</f>
        <v>0</v>
      </c>
      <c r="K82" s="48">
        <f>0</f>
        <v>0</v>
      </c>
      <c r="L82" s="48">
        <f>0</f>
        <v>0</v>
      </c>
      <c r="M82" s="49">
        <f>+IF(J82&lt;&gt;0,L82/J82,0)</f>
        <v>0</v>
      </c>
      <c r="N82" s="50">
        <f>+IF(K82&lt;&gt;0,L82/K82,0)</f>
        <v>0</v>
      </c>
      <c r="O82" s="48">
        <f>0</f>
        <v>0</v>
      </c>
      <c r="P82" s="48">
        <f>0</f>
        <v>0</v>
      </c>
      <c r="Q82" s="48">
        <f>0</f>
        <v>0</v>
      </c>
      <c r="R82" s="48">
        <f>0</f>
        <v>0</v>
      </c>
      <c r="S82" s="43">
        <f>+IF(F82&lt;&gt;0,G82/F82-1,"")</f>
        <v>3.4907206642780242E-3</v>
      </c>
      <c r="T82" s="43">
        <f>+IF(G82&lt;&gt;0,I82/G82-1,"")</f>
        <v>-0.96133479420848789</v>
      </c>
      <c r="U82" s="43">
        <f>+IF(I82&lt;&gt;0,J82/I82-1,"")</f>
        <v>-1</v>
      </c>
      <c r="V82" s="43" t="str">
        <f>+IF(J82&lt;&gt;0,O82/J82-1,"")</f>
        <v/>
      </c>
      <c r="W82" s="43" t="str">
        <f t="shared" si="17"/>
        <v/>
      </c>
      <c r="X82" s="43" t="str">
        <f t="shared" si="17"/>
        <v/>
      </c>
      <c r="Y82" s="43" t="str">
        <f t="shared" si="17"/>
        <v/>
      </c>
    </row>
    <row r="83" spans="1:25" ht="36">
      <c r="A83" s="44" t="s">
        <v>154</v>
      </c>
      <c r="B83" s="45">
        <v>0</v>
      </c>
      <c r="C83" s="45"/>
      <c r="D83" s="46"/>
      <c r="E83" s="51" t="s">
        <v>155</v>
      </c>
      <c r="F83" s="58" t="s">
        <v>21</v>
      </c>
      <c r="G83" s="58" t="s">
        <v>21</v>
      </c>
      <c r="H83" s="58" t="s">
        <v>21</v>
      </c>
      <c r="I83" s="58" t="s">
        <v>21</v>
      </c>
      <c r="J83" s="48">
        <f>0</f>
        <v>0</v>
      </c>
      <c r="K83" s="58" t="s">
        <v>21</v>
      </c>
      <c r="L83" s="58" t="s">
        <v>21</v>
      </c>
      <c r="M83" s="59" t="s">
        <v>21</v>
      </c>
      <c r="N83" s="58" t="s">
        <v>21</v>
      </c>
      <c r="O83" s="48">
        <f>0</f>
        <v>0</v>
      </c>
      <c r="P83" s="48">
        <f>0</f>
        <v>0</v>
      </c>
      <c r="Q83" s="48">
        <f>0</f>
        <v>0</v>
      </c>
      <c r="R83" s="48">
        <f>0</f>
        <v>0</v>
      </c>
      <c r="S83" s="58" t="s">
        <v>21</v>
      </c>
      <c r="T83" s="58" t="s">
        <v>21</v>
      </c>
      <c r="U83" s="58" t="s">
        <v>21</v>
      </c>
      <c r="V83" s="58" t="s">
        <v>21</v>
      </c>
      <c r="W83" s="58" t="s">
        <v>21</v>
      </c>
      <c r="X83" s="58" t="s">
        <v>21</v>
      </c>
      <c r="Y83" s="58" t="s">
        <v>21</v>
      </c>
    </row>
    <row r="84" spans="1:25" ht="24">
      <c r="A84" s="44" t="s">
        <v>156</v>
      </c>
      <c r="B84" s="45">
        <v>1</v>
      </c>
      <c r="C84" s="45"/>
      <c r="D84" s="46"/>
      <c r="E84" s="47" t="s">
        <v>157</v>
      </c>
      <c r="F84" s="48">
        <f>1113072.63</f>
        <v>1113072.6299999999</v>
      </c>
      <c r="G84" s="48">
        <f>1429199.25</f>
        <v>1429199.25</v>
      </c>
      <c r="H84" s="48">
        <f>1623379.46</f>
        <v>1623379.46</v>
      </c>
      <c r="I84" s="48">
        <f>1212091.26</f>
        <v>1212091.26</v>
      </c>
      <c r="J84" s="48">
        <f>2466369.5</f>
        <v>2466369.5</v>
      </c>
      <c r="K84" s="48">
        <f>2466369.5</f>
        <v>2466369.5</v>
      </c>
      <c r="L84" s="48">
        <f>75.89</f>
        <v>75.89</v>
      </c>
      <c r="M84" s="49">
        <f>+IF(J84&lt;&gt;0,L84/J84,0)</f>
        <v>3.076992316033749E-5</v>
      </c>
      <c r="N84" s="50">
        <f>+IF(K84&lt;&gt;0,L84/K84,0)</f>
        <v>3.076992316033749E-5</v>
      </c>
      <c r="O84" s="48">
        <f>0</f>
        <v>0</v>
      </c>
      <c r="P84" s="48">
        <f>0</f>
        <v>0</v>
      </c>
      <c r="Q84" s="48">
        <f>0</f>
        <v>0</v>
      </c>
      <c r="R84" s="48">
        <f>0</f>
        <v>0</v>
      </c>
      <c r="S84" s="43">
        <f>+IF(F84&lt;&gt;0,G84/F84-1,"")</f>
        <v>0.2840125715785502</v>
      </c>
      <c r="T84" s="43">
        <f>+IF(G84&lt;&gt;0,I84/G84-1,"")</f>
        <v>-0.15190883286567636</v>
      </c>
      <c r="U84" s="43">
        <f>+IF(I84&lt;&gt;0,J84/I84-1,"")</f>
        <v>1.0348051185518821</v>
      </c>
      <c r="V84" s="43">
        <f>+IF(J84&lt;&gt;0,O84/J84-1,"")</f>
        <v>-1</v>
      </c>
      <c r="W84" s="43" t="str">
        <f t="shared" ref="W84:Y85" si="18">+IF(O84&lt;&gt;0,P84/O84-1,"")</f>
        <v/>
      </c>
      <c r="X84" s="43" t="str">
        <f t="shared" si="18"/>
        <v/>
      </c>
      <c r="Y84" s="43" t="str">
        <f t="shared" si="18"/>
        <v/>
      </c>
    </row>
    <row r="85" spans="1:25">
      <c r="A85" s="44" t="s">
        <v>158</v>
      </c>
      <c r="B85" s="45">
        <v>1</v>
      </c>
      <c r="C85" s="45"/>
      <c r="D85" s="46"/>
      <c r="E85" s="51" t="s">
        <v>159</v>
      </c>
      <c r="F85" s="48">
        <f>507195.79</f>
        <v>507195.79</v>
      </c>
      <c r="G85" s="48">
        <f>571869.89</f>
        <v>571869.89</v>
      </c>
      <c r="H85" s="48">
        <f>973940.37</f>
        <v>973940.37</v>
      </c>
      <c r="I85" s="48">
        <f>662639.15</f>
        <v>662639.15</v>
      </c>
      <c r="J85" s="48">
        <f>1677969.28</f>
        <v>1677969.28</v>
      </c>
      <c r="K85" s="48">
        <f>1677969.28</f>
        <v>1677969.28</v>
      </c>
      <c r="L85" s="48">
        <f>0</f>
        <v>0</v>
      </c>
      <c r="M85" s="49">
        <f>+IF(J85&lt;&gt;0,L85/J85,0)</f>
        <v>0</v>
      </c>
      <c r="N85" s="50">
        <f>+IF(K85&lt;&gt;0,L85/K85,0)</f>
        <v>0</v>
      </c>
      <c r="O85" s="48">
        <f>0</f>
        <v>0</v>
      </c>
      <c r="P85" s="48">
        <f>0</f>
        <v>0</v>
      </c>
      <c r="Q85" s="48">
        <f>0</f>
        <v>0</v>
      </c>
      <c r="R85" s="48">
        <f>0</f>
        <v>0</v>
      </c>
      <c r="S85" s="43">
        <f>+IF(F85&lt;&gt;0,G85/F85-1,"")</f>
        <v>0.12751308523282501</v>
      </c>
      <c r="T85" s="43">
        <f>+IF(G85&lt;&gt;0,I85/G85-1,"")</f>
        <v>0.15872362155664455</v>
      </c>
      <c r="U85" s="43">
        <f>+IF(I85&lt;&gt;0,J85/I85-1,"")</f>
        <v>1.5322519504016627</v>
      </c>
      <c r="V85" s="43">
        <f>+IF(J85&lt;&gt;0,O85/J85-1,"")</f>
        <v>-1</v>
      </c>
      <c r="W85" s="43" t="str">
        <f t="shared" si="18"/>
        <v/>
      </c>
      <c r="X85" s="43" t="str">
        <f t="shared" si="18"/>
        <v/>
      </c>
      <c r="Y85" s="43" t="str">
        <f t="shared" si="18"/>
        <v/>
      </c>
    </row>
    <row r="86" spans="1:25" ht="36">
      <c r="A86" s="44" t="s">
        <v>160</v>
      </c>
      <c r="B86" s="45">
        <v>0</v>
      </c>
      <c r="C86" s="45"/>
      <c r="D86" s="46"/>
      <c r="E86" s="51" t="s">
        <v>161</v>
      </c>
      <c r="F86" s="58" t="s">
        <v>21</v>
      </c>
      <c r="G86" s="58" t="s">
        <v>21</v>
      </c>
      <c r="H86" s="58" t="s">
        <v>21</v>
      </c>
      <c r="I86" s="58" t="s">
        <v>21</v>
      </c>
      <c r="J86" s="48">
        <f>0</f>
        <v>0</v>
      </c>
      <c r="K86" s="58" t="s">
        <v>21</v>
      </c>
      <c r="L86" s="58" t="s">
        <v>21</v>
      </c>
      <c r="M86" s="59" t="s">
        <v>21</v>
      </c>
      <c r="N86" s="58" t="s">
        <v>21</v>
      </c>
      <c r="O86" s="48">
        <f>0</f>
        <v>0</v>
      </c>
      <c r="P86" s="48">
        <f>0</f>
        <v>0</v>
      </c>
      <c r="Q86" s="48">
        <f>0</f>
        <v>0</v>
      </c>
      <c r="R86" s="48">
        <f>0</f>
        <v>0</v>
      </c>
      <c r="S86" s="58" t="s">
        <v>21</v>
      </c>
      <c r="T86" s="58" t="s">
        <v>21</v>
      </c>
      <c r="U86" s="58" t="s">
        <v>21</v>
      </c>
      <c r="V86" s="58" t="s">
        <v>21</v>
      </c>
      <c r="W86" s="58" t="s">
        <v>21</v>
      </c>
      <c r="X86" s="58" t="s">
        <v>21</v>
      </c>
      <c r="Y86" s="58" t="s">
        <v>21</v>
      </c>
    </row>
    <row r="87" spans="1:25" ht="36">
      <c r="A87" s="44" t="s">
        <v>162</v>
      </c>
      <c r="B87" s="45">
        <v>0</v>
      </c>
      <c r="C87" s="45"/>
      <c r="D87" s="46"/>
      <c r="E87" s="51" t="s">
        <v>163</v>
      </c>
      <c r="F87" s="58" t="s">
        <v>21</v>
      </c>
      <c r="G87" s="58" t="s">
        <v>21</v>
      </c>
      <c r="H87" s="58" t="s">
        <v>21</v>
      </c>
      <c r="I87" s="58" t="s">
        <v>21</v>
      </c>
      <c r="J87" s="48">
        <f>0</f>
        <v>0</v>
      </c>
      <c r="K87" s="58" t="s">
        <v>21</v>
      </c>
      <c r="L87" s="58" t="s">
        <v>21</v>
      </c>
      <c r="M87" s="59" t="s">
        <v>21</v>
      </c>
      <c r="N87" s="58" t="s">
        <v>21</v>
      </c>
      <c r="O87" s="48">
        <f>0</f>
        <v>0</v>
      </c>
      <c r="P87" s="48">
        <f>0</f>
        <v>0</v>
      </c>
      <c r="Q87" s="48">
        <f>0</f>
        <v>0</v>
      </c>
      <c r="R87" s="48">
        <f>0</f>
        <v>0</v>
      </c>
      <c r="S87" s="58" t="s">
        <v>21</v>
      </c>
      <c r="T87" s="58" t="s">
        <v>21</v>
      </c>
      <c r="U87" s="58" t="s">
        <v>21</v>
      </c>
      <c r="V87" s="58" t="s">
        <v>21</v>
      </c>
      <c r="W87" s="58" t="s">
        <v>21</v>
      </c>
      <c r="X87" s="58" t="s">
        <v>21</v>
      </c>
      <c r="Y87" s="58" t="s">
        <v>21</v>
      </c>
    </row>
    <row r="88" spans="1:25">
      <c r="A88" s="44" t="s">
        <v>164</v>
      </c>
      <c r="B88" s="45">
        <v>0</v>
      </c>
      <c r="C88" s="45"/>
      <c r="D88" s="46"/>
      <c r="E88" s="51" t="s">
        <v>165</v>
      </c>
      <c r="F88" s="58" t="s">
        <v>21</v>
      </c>
      <c r="G88" s="58" t="s">
        <v>21</v>
      </c>
      <c r="H88" s="58" t="s">
        <v>21</v>
      </c>
      <c r="I88" s="58" t="s">
        <v>21</v>
      </c>
      <c r="J88" s="48">
        <f>0</f>
        <v>0</v>
      </c>
      <c r="K88" s="58" t="s">
        <v>21</v>
      </c>
      <c r="L88" s="58" t="s">
        <v>21</v>
      </c>
      <c r="M88" s="59" t="s">
        <v>21</v>
      </c>
      <c r="N88" s="58" t="s">
        <v>21</v>
      </c>
      <c r="O88" s="48">
        <f>0</f>
        <v>0</v>
      </c>
      <c r="P88" s="48">
        <f>0</f>
        <v>0</v>
      </c>
      <c r="Q88" s="48">
        <f>0</f>
        <v>0</v>
      </c>
      <c r="R88" s="48">
        <f>0</f>
        <v>0</v>
      </c>
      <c r="S88" s="58" t="s">
        <v>21</v>
      </c>
      <c r="T88" s="58" t="s">
        <v>21</v>
      </c>
      <c r="U88" s="58" t="s">
        <v>21</v>
      </c>
      <c r="V88" s="58" t="s">
        <v>21</v>
      </c>
      <c r="W88" s="58" t="s">
        <v>21</v>
      </c>
      <c r="X88" s="58" t="s">
        <v>21</v>
      </c>
      <c r="Y88" s="58" t="s">
        <v>21</v>
      </c>
    </row>
    <row r="89" spans="1:25" ht="36">
      <c r="A89" s="44" t="s">
        <v>166</v>
      </c>
      <c r="B89" s="45">
        <v>0</v>
      </c>
      <c r="C89" s="45"/>
      <c r="D89" s="46"/>
      <c r="E89" s="51" t="s">
        <v>167</v>
      </c>
      <c r="F89" s="58" t="s">
        <v>21</v>
      </c>
      <c r="G89" s="58" t="s">
        <v>21</v>
      </c>
      <c r="H89" s="58" t="s">
        <v>21</v>
      </c>
      <c r="I89" s="58" t="s">
        <v>21</v>
      </c>
      <c r="J89" s="48">
        <f>0</f>
        <v>0</v>
      </c>
      <c r="K89" s="58" t="s">
        <v>21</v>
      </c>
      <c r="L89" s="58" t="s">
        <v>21</v>
      </c>
      <c r="M89" s="59" t="s">
        <v>21</v>
      </c>
      <c r="N89" s="58" t="s">
        <v>21</v>
      </c>
      <c r="O89" s="48">
        <f>0</f>
        <v>0</v>
      </c>
      <c r="P89" s="48">
        <f>0</f>
        <v>0</v>
      </c>
      <c r="Q89" s="48">
        <f>0</f>
        <v>0</v>
      </c>
      <c r="R89" s="48">
        <f>0</f>
        <v>0</v>
      </c>
      <c r="S89" s="58" t="s">
        <v>21</v>
      </c>
      <c r="T89" s="58" t="s">
        <v>21</v>
      </c>
      <c r="U89" s="58" t="s">
        <v>21</v>
      </c>
      <c r="V89" s="58" t="s">
        <v>21</v>
      </c>
      <c r="W89" s="58" t="s">
        <v>21</v>
      </c>
      <c r="X89" s="58" t="s">
        <v>21</v>
      </c>
      <c r="Y89" s="58" t="s">
        <v>21</v>
      </c>
    </row>
    <row r="90" spans="1:25">
      <c r="A90" s="44" t="s">
        <v>168</v>
      </c>
      <c r="B90" s="45">
        <v>0</v>
      </c>
      <c r="C90" s="45"/>
      <c r="D90" s="46"/>
      <c r="E90" s="51" t="s">
        <v>165</v>
      </c>
      <c r="F90" s="58" t="s">
        <v>21</v>
      </c>
      <c r="G90" s="58" t="s">
        <v>21</v>
      </c>
      <c r="H90" s="58" t="s">
        <v>21</v>
      </c>
      <c r="I90" s="58" t="s">
        <v>21</v>
      </c>
      <c r="J90" s="48">
        <f>0</f>
        <v>0</v>
      </c>
      <c r="K90" s="58" t="s">
        <v>21</v>
      </c>
      <c r="L90" s="58" t="s">
        <v>21</v>
      </c>
      <c r="M90" s="59" t="s">
        <v>21</v>
      </c>
      <c r="N90" s="58" t="s">
        <v>21</v>
      </c>
      <c r="O90" s="48">
        <f>0</f>
        <v>0</v>
      </c>
      <c r="P90" s="48">
        <f>0</f>
        <v>0</v>
      </c>
      <c r="Q90" s="48">
        <f>0</f>
        <v>0</v>
      </c>
      <c r="R90" s="48">
        <f>0</f>
        <v>0</v>
      </c>
      <c r="S90" s="58" t="s">
        <v>21</v>
      </c>
      <c r="T90" s="58" t="s">
        <v>21</v>
      </c>
      <c r="U90" s="58" t="s">
        <v>21</v>
      </c>
      <c r="V90" s="58" t="s">
        <v>21</v>
      </c>
      <c r="W90" s="58" t="s">
        <v>21</v>
      </c>
      <c r="X90" s="58" t="s">
        <v>21</v>
      </c>
      <c r="Y90" s="58" t="s">
        <v>21</v>
      </c>
    </row>
    <row r="91" spans="1:25" ht="48">
      <c r="A91" s="44" t="s">
        <v>169</v>
      </c>
      <c r="B91" s="45">
        <v>0</v>
      </c>
      <c r="C91" s="45"/>
      <c r="D91" s="46"/>
      <c r="E91" s="51" t="s">
        <v>170</v>
      </c>
      <c r="F91" s="58" t="s">
        <v>21</v>
      </c>
      <c r="G91" s="58" t="s">
        <v>21</v>
      </c>
      <c r="H91" s="58" t="s">
        <v>21</v>
      </c>
      <c r="I91" s="58" t="s">
        <v>21</v>
      </c>
      <c r="J91" s="48">
        <f>0</f>
        <v>0</v>
      </c>
      <c r="K91" s="58" t="s">
        <v>21</v>
      </c>
      <c r="L91" s="58" t="s">
        <v>21</v>
      </c>
      <c r="M91" s="59" t="s">
        <v>21</v>
      </c>
      <c r="N91" s="58" t="s">
        <v>21</v>
      </c>
      <c r="O91" s="48">
        <f>0</f>
        <v>0</v>
      </c>
      <c r="P91" s="48">
        <f>0</f>
        <v>0</v>
      </c>
      <c r="Q91" s="48">
        <f>0</f>
        <v>0</v>
      </c>
      <c r="R91" s="48">
        <f>0</f>
        <v>0</v>
      </c>
      <c r="S91" s="58" t="s">
        <v>21</v>
      </c>
      <c r="T91" s="58" t="s">
        <v>21</v>
      </c>
      <c r="U91" s="58" t="s">
        <v>21</v>
      </c>
      <c r="V91" s="58" t="s">
        <v>21</v>
      </c>
      <c r="W91" s="58" t="s">
        <v>21</v>
      </c>
      <c r="X91" s="58" t="s">
        <v>21</v>
      </c>
      <c r="Y91" s="58" t="s">
        <v>21</v>
      </c>
    </row>
    <row r="92" spans="1:25">
      <c r="A92" s="44" t="s">
        <v>171</v>
      </c>
      <c r="B92" s="45">
        <v>0</v>
      </c>
      <c r="C92" s="45"/>
      <c r="D92" s="46"/>
      <c r="E92" s="51" t="s">
        <v>165</v>
      </c>
      <c r="F92" s="58" t="s">
        <v>21</v>
      </c>
      <c r="G92" s="58" t="s">
        <v>21</v>
      </c>
      <c r="H92" s="58" t="s">
        <v>21</v>
      </c>
      <c r="I92" s="58" t="s">
        <v>21</v>
      </c>
      <c r="J92" s="48">
        <f>0</f>
        <v>0</v>
      </c>
      <c r="K92" s="58" t="s">
        <v>21</v>
      </c>
      <c r="L92" s="58" t="s">
        <v>21</v>
      </c>
      <c r="M92" s="59" t="s">
        <v>21</v>
      </c>
      <c r="N92" s="58" t="s">
        <v>21</v>
      </c>
      <c r="O92" s="48">
        <f>0</f>
        <v>0</v>
      </c>
      <c r="P92" s="48">
        <f>0</f>
        <v>0</v>
      </c>
      <c r="Q92" s="48">
        <f>0</f>
        <v>0</v>
      </c>
      <c r="R92" s="48">
        <f>0</f>
        <v>0</v>
      </c>
      <c r="S92" s="58" t="s">
        <v>21</v>
      </c>
      <c r="T92" s="58" t="s">
        <v>21</v>
      </c>
      <c r="U92" s="58" t="s">
        <v>21</v>
      </c>
      <c r="V92" s="58" t="s">
        <v>21</v>
      </c>
      <c r="W92" s="58" t="s">
        <v>21</v>
      </c>
      <c r="X92" s="58" t="s">
        <v>21</v>
      </c>
      <c r="Y92" s="58" t="s">
        <v>21</v>
      </c>
    </row>
    <row r="93" spans="1:25" ht="48">
      <c r="A93" s="44" t="s">
        <v>172</v>
      </c>
      <c r="B93" s="45">
        <v>0</v>
      </c>
      <c r="C93" s="45"/>
      <c r="D93" s="46"/>
      <c r="E93" s="51" t="s">
        <v>173</v>
      </c>
      <c r="F93" s="58" t="s">
        <v>21</v>
      </c>
      <c r="G93" s="58" t="s">
        <v>21</v>
      </c>
      <c r="H93" s="58" t="s">
        <v>21</v>
      </c>
      <c r="I93" s="58" t="s">
        <v>21</v>
      </c>
      <c r="J93" s="48">
        <f>0</f>
        <v>0</v>
      </c>
      <c r="K93" s="58" t="s">
        <v>21</v>
      </c>
      <c r="L93" s="58" t="s">
        <v>21</v>
      </c>
      <c r="M93" s="59" t="s">
        <v>21</v>
      </c>
      <c r="N93" s="58" t="s">
        <v>21</v>
      </c>
      <c r="O93" s="48">
        <f>0</f>
        <v>0</v>
      </c>
      <c r="P93" s="48">
        <f>0</f>
        <v>0</v>
      </c>
      <c r="Q93" s="48">
        <f>0</f>
        <v>0</v>
      </c>
      <c r="R93" s="48">
        <f>0</f>
        <v>0</v>
      </c>
      <c r="S93" s="58" t="s">
        <v>21</v>
      </c>
      <c r="T93" s="58" t="s">
        <v>21</v>
      </c>
      <c r="U93" s="58" t="s">
        <v>21</v>
      </c>
      <c r="V93" s="58" t="s">
        <v>21</v>
      </c>
      <c r="W93" s="58" t="s">
        <v>21</v>
      </c>
      <c r="X93" s="58" t="s">
        <v>21</v>
      </c>
      <c r="Y93" s="58" t="s">
        <v>21</v>
      </c>
    </row>
    <row r="94" spans="1:25">
      <c r="A94" s="44" t="s">
        <v>174</v>
      </c>
      <c r="B94" s="45">
        <v>0</v>
      </c>
      <c r="C94" s="45"/>
      <c r="D94" s="46"/>
      <c r="E94" s="51" t="s">
        <v>165</v>
      </c>
      <c r="F94" s="58" t="s">
        <v>21</v>
      </c>
      <c r="G94" s="58" t="s">
        <v>21</v>
      </c>
      <c r="H94" s="58" t="s">
        <v>21</v>
      </c>
      <c r="I94" s="58" t="s">
        <v>21</v>
      </c>
      <c r="J94" s="48">
        <f>0</f>
        <v>0</v>
      </c>
      <c r="K94" s="58" t="s">
        <v>21</v>
      </c>
      <c r="L94" s="58" t="s">
        <v>21</v>
      </c>
      <c r="M94" s="59" t="s">
        <v>21</v>
      </c>
      <c r="N94" s="58" t="s">
        <v>21</v>
      </c>
      <c r="O94" s="48">
        <f>0</f>
        <v>0</v>
      </c>
      <c r="P94" s="48">
        <f>0</f>
        <v>0</v>
      </c>
      <c r="Q94" s="48">
        <f>0</f>
        <v>0</v>
      </c>
      <c r="R94" s="48">
        <f>0</f>
        <v>0</v>
      </c>
      <c r="S94" s="58" t="s">
        <v>21</v>
      </c>
      <c r="T94" s="58" t="s">
        <v>21</v>
      </c>
      <c r="U94" s="58" t="s">
        <v>21</v>
      </c>
      <c r="V94" s="58" t="s">
        <v>21</v>
      </c>
      <c r="W94" s="58" t="s">
        <v>21</v>
      </c>
      <c r="X94" s="58" t="s">
        <v>21</v>
      </c>
      <c r="Y94" s="58" t="s">
        <v>21</v>
      </c>
    </row>
    <row r="95" spans="1:25" ht="24">
      <c r="A95" s="53">
        <v>13</v>
      </c>
      <c r="B95" s="54">
        <v>1</v>
      </c>
      <c r="C95" s="54"/>
      <c r="D95" s="55"/>
      <c r="E95" s="69" t="s">
        <v>175</v>
      </c>
      <c r="F95" s="58" t="s">
        <v>21</v>
      </c>
      <c r="G95" s="58" t="s">
        <v>21</v>
      </c>
      <c r="H95" s="58" t="s">
        <v>21</v>
      </c>
      <c r="I95" s="58" t="s">
        <v>21</v>
      </c>
      <c r="J95" s="61" t="s">
        <v>21</v>
      </c>
      <c r="K95" s="58" t="s">
        <v>21</v>
      </c>
      <c r="L95" s="58" t="s">
        <v>21</v>
      </c>
      <c r="M95" s="59" t="s">
        <v>21</v>
      </c>
      <c r="N95" s="58" t="s">
        <v>21</v>
      </c>
      <c r="O95" s="61" t="s">
        <v>21</v>
      </c>
      <c r="P95" s="61" t="s">
        <v>21</v>
      </c>
      <c r="Q95" s="61" t="s">
        <v>21</v>
      </c>
      <c r="R95" s="61" t="s">
        <v>21</v>
      </c>
      <c r="S95" s="58" t="s">
        <v>21</v>
      </c>
      <c r="T95" s="58" t="s">
        <v>21</v>
      </c>
      <c r="U95" s="58" t="s">
        <v>21</v>
      </c>
      <c r="V95" s="58" t="s">
        <v>21</v>
      </c>
      <c r="W95" s="58" t="s">
        <v>21</v>
      </c>
      <c r="X95" s="58" t="s">
        <v>21</v>
      </c>
      <c r="Y95" s="58" t="s">
        <v>21</v>
      </c>
    </row>
    <row r="96" spans="1:25" ht="36">
      <c r="A96" s="44" t="s">
        <v>176</v>
      </c>
      <c r="B96" s="45">
        <v>0</v>
      </c>
      <c r="C96" s="45"/>
      <c r="D96" s="46"/>
      <c r="E96" s="47" t="s">
        <v>177</v>
      </c>
      <c r="F96" s="58" t="s">
        <v>21</v>
      </c>
      <c r="G96" s="58" t="s">
        <v>21</v>
      </c>
      <c r="H96" s="58" t="s">
        <v>21</v>
      </c>
      <c r="I96" s="58" t="s">
        <v>21</v>
      </c>
      <c r="J96" s="48">
        <f>0</f>
        <v>0</v>
      </c>
      <c r="K96" s="58" t="s">
        <v>21</v>
      </c>
      <c r="L96" s="58" t="s">
        <v>21</v>
      </c>
      <c r="M96" s="59" t="s">
        <v>21</v>
      </c>
      <c r="N96" s="58" t="s">
        <v>21</v>
      </c>
      <c r="O96" s="48">
        <f>0</f>
        <v>0</v>
      </c>
      <c r="P96" s="48">
        <f>0</f>
        <v>0</v>
      </c>
      <c r="Q96" s="48">
        <f>0</f>
        <v>0</v>
      </c>
      <c r="R96" s="48">
        <f>0</f>
        <v>0</v>
      </c>
      <c r="S96" s="58" t="s">
        <v>21</v>
      </c>
      <c r="T96" s="58" t="s">
        <v>21</v>
      </c>
      <c r="U96" s="58" t="s">
        <v>21</v>
      </c>
      <c r="V96" s="58" t="s">
        <v>21</v>
      </c>
      <c r="W96" s="58" t="s">
        <v>21</v>
      </c>
      <c r="X96" s="58" t="s">
        <v>21</v>
      </c>
      <c r="Y96" s="58" t="s">
        <v>21</v>
      </c>
    </row>
    <row r="97" spans="1:25" ht="36">
      <c r="A97" s="44" t="s">
        <v>178</v>
      </c>
      <c r="B97" s="45">
        <v>0</v>
      </c>
      <c r="C97" s="45"/>
      <c r="D97" s="46"/>
      <c r="E97" s="47" t="s">
        <v>179</v>
      </c>
      <c r="F97" s="58" t="s">
        <v>21</v>
      </c>
      <c r="G97" s="58" t="s">
        <v>21</v>
      </c>
      <c r="H97" s="58" t="s">
        <v>21</v>
      </c>
      <c r="I97" s="58" t="s">
        <v>21</v>
      </c>
      <c r="J97" s="48">
        <f>0</f>
        <v>0</v>
      </c>
      <c r="K97" s="58" t="s">
        <v>21</v>
      </c>
      <c r="L97" s="58" t="s">
        <v>21</v>
      </c>
      <c r="M97" s="59" t="s">
        <v>21</v>
      </c>
      <c r="N97" s="58" t="s">
        <v>21</v>
      </c>
      <c r="O97" s="48">
        <f>0</f>
        <v>0</v>
      </c>
      <c r="P97" s="48">
        <f>0</f>
        <v>0</v>
      </c>
      <c r="Q97" s="48">
        <f>0</f>
        <v>0</v>
      </c>
      <c r="R97" s="48">
        <f>0</f>
        <v>0</v>
      </c>
      <c r="S97" s="58" t="s">
        <v>21</v>
      </c>
      <c r="T97" s="58" t="s">
        <v>21</v>
      </c>
      <c r="U97" s="58" t="s">
        <v>21</v>
      </c>
      <c r="V97" s="58" t="s">
        <v>21</v>
      </c>
      <c r="W97" s="58" t="s">
        <v>21</v>
      </c>
      <c r="X97" s="58" t="s">
        <v>21</v>
      </c>
      <c r="Y97" s="58" t="s">
        <v>21</v>
      </c>
    </row>
    <row r="98" spans="1:25" ht="24">
      <c r="A98" s="44" t="s">
        <v>180</v>
      </c>
      <c r="B98" s="45">
        <v>0</v>
      </c>
      <c r="C98" s="45"/>
      <c r="D98" s="46"/>
      <c r="E98" s="47" t="s">
        <v>181</v>
      </c>
      <c r="F98" s="58" t="s">
        <v>21</v>
      </c>
      <c r="G98" s="58" t="s">
        <v>21</v>
      </c>
      <c r="H98" s="58" t="s">
        <v>21</v>
      </c>
      <c r="I98" s="58" t="s">
        <v>21</v>
      </c>
      <c r="J98" s="48">
        <f>0</f>
        <v>0</v>
      </c>
      <c r="K98" s="58" t="s">
        <v>21</v>
      </c>
      <c r="L98" s="58" t="s">
        <v>21</v>
      </c>
      <c r="M98" s="59" t="s">
        <v>21</v>
      </c>
      <c r="N98" s="58" t="s">
        <v>21</v>
      </c>
      <c r="O98" s="48">
        <f>0</f>
        <v>0</v>
      </c>
      <c r="P98" s="48">
        <f>0</f>
        <v>0</v>
      </c>
      <c r="Q98" s="48">
        <f>0</f>
        <v>0</v>
      </c>
      <c r="R98" s="48">
        <f>0</f>
        <v>0</v>
      </c>
      <c r="S98" s="58" t="s">
        <v>21</v>
      </c>
      <c r="T98" s="58" t="s">
        <v>21</v>
      </c>
      <c r="U98" s="58" t="s">
        <v>21</v>
      </c>
      <c r="V98" s="58" t="s">
        <v>21</v>
      </c>
      <c r="W98" s="58" t="s">
        <v>21</v>
      </c>
      <c r="X98" s="58" t="s">
        <v>21</v>
      </c>
      <c r="Y98" s="58" t="s">
        <v>21</v>
      </c>
    </row>
    <row r="99" spans="1:25" ht="36">
      <c r="A99" s="44" t="s">
        <v>182</v>
      </c>
      <c r="B99" s="45">
        <v>1</v>
      </c>
      <c r="C99" s="45"/>
      <c r="D99" s="46"/>
      <c r="E99" s="47" t="s">
        <v>183</v>
      </c>
      <c r="F99" s="91">
        <f>0</f>
        <v>0</v>
      </c>
      <c r="G99" s="91">
        <f>0</f>
        <v>0</v>
      </c>
      <c r="H99" s="93">
        <f>0</f>
        <v>0</v>
      </c>
      <c r="I99" s="93">
        <f>0</f>
        <v>0</v>
      </c>
      <c r="J99" s="48">
        <f>0</f>
        <v>0</v>
      </c>
      <c r="K99" s="93">
        <f>0</f>
        <v>0</v>
      </c>
      <c r="L99" s="93">
        <f>0</f>
        <v>0</v>
      </c>
      <c r="M99" s="49">
        <f>+IF(J99&lt;&gt;0,L99/J99,0)</f>
        <v>0</v>
      </c>
      <c r="N99" s="50">
        <f>+IF(K99&lt;&gt;0,L99/K99,0)</f>
        <v>0</v>
      </c>
      <c r="O99" s="48">
        <f>0</f>
        <v>0</v>
      </c>
      <c r="P99" s="48">
        <f>0</f>
        <v>0</v>
      </c>
      <c r="Q99" s="48">
        <f>0</f>
        <v>0</v>
      </c>
      <c r="R99" s="48">
        <f>0</f>
        <v>0</v>
      </c>
      <c r="S99" s="88" t="str">
        <f>+IF(F99&lt;&gt;0,G99/F99-1,"")</f>
        <v/>
      </c>
      <c r="T99" s="88" t="str">
        <f>+IF(G99&lt;&gt;0,I99/G99-1,"")</f>
        <v/>
      </c>
      <c r="U99" s="88" t="str">
        <f>+IF(I99&lt;&gt;0,(J99+J100)/I99-1,"")</f>
        <v/>
      </c>
      <c r="V99" s="70" t="str">
        <f>+IF(J99&lt;&gt;0,(O99)/J99-1,"")</f>
        <v/>
      </c>
      <c r="W99" s="70" t="str">
        <f t="shared" ref="W99:Y100" si="19">+IF(O99&lt;&gt;0,(P99)/O99-1,"")</f>
        <v/>
      </c>
      <c r="X99" s="70" t="str">
        <f t="shared" si="19"/>
        <v/>
      </c>
      <c r="Y99" s="70" t="str">
        <f t="shared" si="19"/>
        <v/>
      </c>
    </row>
    <row r="100" spans="1:25" ht="36">
      <c r="A100" s="44" t="s">
        <v>184</v>
      </c>
      <c r="B100" s="45">
        <v>1</v>
      </c>
      <c r="C100" s="45"/>
      <c r="D100" s="46"/>
      <c r="E100" s="47" t="s">
        <v>185</v>
      </c>
      <c r="F100" s="92"/>
      <c r="G100" s="92"/>
      <c r="H100" s="94"/>
      <c r="I100" s="94"/>
      <c r="J100" s="48">
        <f>0</f>
        <v>0</v>
      </c>
      <c r="K100" s="94"/>
      <c r="L100" s="94"/>
      <c r="M100" s="49">
        <f>+IF(J100&lt;&gt;0,L100/J100,0)</f>
        <v>0</v>
      </c>
      <c r="N100" s="50">
        <f>+IF(K100&lt;&gt;0,L100/K100,0)</f>
        <v>0</v>
      </c>
      <c r="O100" s="48">
        <f>0</f>
        <v>0</v>
      </c>
      <c r="P100" s="48">
        <f>0</f>
        <v>0</v>
      </c>
      <c r="Q100" s="48">
        <f>0</f>
        <v>0</v>
      </c>
      <c r="R100" s="48">
        <f>0</f>
        <v>0</v>
      </c>
      <c r="S100" s="88"/>
      <c r="T100" s="88"/>
      <c r="U100" s="88"/>
      <c r="V100" s="70" t="str">
        <f>+IF(J100&lt;&gt;0,(O100)/J100-1,"")</f>
        <v/>
      </c>
      <c r="W100" s="70" t="str">
        <f t="shared" si="19"/>
        <v/>
      </c>
      <c r="X100" s="70" t="str">
        <f t="shared" si="19"/>
        <v/>
      </c>
      <c r="Y100" s="70" t="str">
        <f t="shared" si="19"/>
        <v/>
      </c>
    </row>
    <row r="101" spans="1:25" ht="24">
      <c r="A101" s="44" t="s">
        <v>186</v>
      </c>
      <c r="B101" s="45">
        <v>1</v>
      </c>
      <c r="C101" s="45"/>
      <c r="D101" s="46"/>
      <c r="E101" s="47" t="s">
        <v>187</v>
      </c>
      <c r="F101" s="48">
        <f>0</f>
        <v>0</v>
      </c>
      <c r="G101" s="48">
        <f>0</f>
        <v>0</v>
      </c>
      <c r="H101" s="48">
        <f>0</f>
        <v>0</v>
      </c>
      <c r="I101" s="48">
        <f>0</f>
        <v>0</v>
      </c>
      <c r="J101" s="48">
        <f>0</f>
        <v>0</v>
      </c>
      <c r="K101" s="48">
        <f>0</f>
        <v>0</v>
      </c>
      <c r="L101" s="48">
        <f>0</f>
        <v>0</v>
      </c>
      <c r="M101" s="49">
        <f>+IF(J101&lt;&gt;0,L101/J101,0)</f>
        <v>0</v>
      </c>
      <c r="N101" s="50">
        <f>+IF(K101&lt;&gt;0,L101/K101,0)</f>
        <v>0</v>
      </c>
      <c r="O101" s="48">
        <f>0</f>
        <v>0</v>
      </c>
      <c r="P101" s="48">
        <f>0</f>
        <v>0</v>
      </c>
      <c r="Q101" s="48">
        <f>0</f>
        <v>0</v>
      </c>
      <c r="R101" s="48">
        <f>0</f>
        <v>0</v>
      </c>
      <c r="S101" s="70" t="str">
        <f>+IF(F101&lt;&gt;0,G101/F101-1,"")</f>
        <v/>
      </c>
      <c r="T101" s="70" t="str">
        <f>+IF(G101&lt;&gt;0,I101/G101-1,"")</f>
        <v/>
      </c>
      <c r="U101" s="70" t="str">
        <f>+IF(I101&lt;&gt;0,J101/I101-1,"")</f>
        <v/>
      </c>
      <c r="V101" s="70" t="str">
        <f>+IF(J101&lt;&gt;0,O101/J101-1,"")</f>
        <v/>
      </c>
      <c r="W101" s="70" t="str">
        <f t="shared" ref="W101:Y102" si="20">+IF(O101&lt;&gt;0,P101/O101-1,"")</f>
        <v/>
      </c>
      <c r="X101" s="70" t="str">
        <f t="shared" si="20"/>
        <v/>
      </c>
      <c r="Y101" s="70" t="str">
        <f t="shared" si="20"/>
        <v/>
      </c>
    </row>
    <row r="102" spans="1:25" ht="24">
      <c r="A102" s="44" t="s">
        <v>188</v>
      </c>
      <c r="B102" s="45">
        <v>1</v>
      </c>
      <c r="C102" s="45"/>
      <c r="D102" s="46"/>
      <c r="E102" s="47" t="s">
        <v>189</v>
      </c>
      <c r="F102" s="48">
        <f>0</f>
        <v>0</v>
      </c>
      <c r="G102" s="48">
        <f>0</f>
        <v>0</v>
      </c>
      <c r="H102" s="48">
        <f>0</f>
        <v>0</v>
      </c>
      <c r="I102" s="48">
        <f>0</f>
        <v>0</v>
      </c>
      <c r="J102" s="48">
        <f>0</f>
        <v>0</v>
      </c>
      <c r="K102" s="48">
        <f>0</f>
        <v>0</v>
      </c>
      <c r="L102" s="48">
        <f>0</f>
        <v>0</v>
      </c>
      <c r="M102" s="49">
        <f>+IF(J102&lt;&gt;0,L102/J102,0)</f>
        <v>0</v>
      </c>
      <c r="N102" s="50">
        <f>+IF(K102&lt;&gt;0,L102/K102,0)</f>
        <v>0</v>
      </c>
      <c r="O102" s="48">
        <f>0</f>
        <v>0</v>
      </c>
      <c r="P102" s="48">
        <f>0</f>
        <v>0</v>
      </c>
      <c r="Q102" s="48">
        <f>0</f>
        <v>0</v>
      </c>
      <c r="R102" s="48">
        <f>0</f>
        <v>0</v>
      </c>
      <c r="S102" s="70" t="str">
        <f>+IF(F102&lt;&gt;0,G102/F102-1,"")</f>
        <v/>
      </c>
      <c r="T102" s="70" t="str">
        <f>+IF(G102&lt;&gt;0,I102/G102-1,"")</f>
        <v/>
      </c>
      <c r="U102" s="70" t="str">
        <f>+IF(I102&lt;&gt;0,J102/I102-1,"")</f>
        <v/>
      </c>
      <c r="V102" s="70" t="str">
        <f>+IF(J102&lt;&gt;0,O102/J102-1,"")</f>
        <v/>
      </c>
      <c r="W102" s="70" t="str">
        <f t="shared" si="20"/>
        <v/>
      </c>
      <c r="X102" s="70" t="str">
        <f t="shared" si="20"/>
        <v/>
      </c>
      <c r="Y102" s="70" t="str">
        <f t="shared" si="20"/>
        <v/>
      </c>
    </row>
    <row r="103" spans="1:25">
      <c r="A103" s="53">
        <v>14</v>
      </c>
      <c r="B103" s="54">
        <v>0</v>
      </c>
      <c r="C103" s="54" t="s">
        <v>21</v>
      </c>
      <c r="D103" s="55"/>
      <c r="E103" s="56" t="s">
        <v>190</v>
      </c>
      <c r="F103" s="61" t="s">
        <v>21</v>
      </c>
      <c r="G103" s="61" t="s">
        <v>21</v>
      </c>
      <c r="H103" s="61" t="s">
        <v>21</v>
      </c>
      <c r="I103" s="61" t="s">
        <v>21</v>
      </c>
      <c r="J103" s="61" t="s">
        <v>21</v>
      </c>
      <c r="K103" s="61" t="s">
        <v>21</v>
      </c>
      <c r="L103" s="61" t="s">
        <v>21</v>
      </c>
      <c r="M103" s="62" t="s">
        <v>21</v>
      </c>
      <c r="N103" s="61" t="s">
        <v>21</v>
      </c>
      <c r="O103" s="61" t="s">
        <v>21</v>
      </c>
      <c r="P103" s="61" t="s">
        <v>21</v>
      </c>
      <c r="Q103" s="61" t="s">
        <v>21</v>
      </c>
      <c r="R103" s="61" t="s">
        <v>21</v>
      </c>
      <c r="S103" s="61" t="s">
        <v>21</v>
      </c>
      <c r="T103" s="61" t="s">
        <v>21</v>
      </c>
      <c r="U103" s="61" t="s">
        <v>21</v>
      </c>
      <c r="V103" s="61" t="s">
        <v>21</v>
      </c>
      <c r="W103" s="61" t="s">
        <v>21</v>
      </c>
      <c r="X103" s="61" t="s">
        <v>21</v>
      </c>
      <c r="Y103" s="61" t="s">
        <v>21</v>
      </c>
    </row>
    <row r="104" spans="1:25" ht="24">
      <c r="A104" s="44" t="s">
        <v>191</v>
      </c>
      <c r="B104" s="45">
        <v>0</v>
      </c>
      <c r="C104" s="45" t="s">
        <v>21</v>
      </c>
      <c r="D104" s="46"/>
      <c r="E104" s="47" t="s">
        <v>192</v>
      </c>
      <c r="F104" s="58" t="s">
        <v>21</v>
      </c>
      <c r="G104" s="58" t="s">
        <v>21</v>
      </c>
      <c r="H104" s="58" t="s">
        <v>21</v>
      </c>
      <c r="I104" s="58" t="s">
        <v>21</v>
      </c>
      <c r="J104" s="48">
        <f>1446810.72</f>
        <v>1446810.72</v>
      </c>
      <c r="K104" s="58" t="s">
        <v>21</v>
      </c>
      <c r="L104" s="58" t="s">
        <v>21</v>
      </c>
      <c r="M104" s="59" t="s">
        <v>21</v>
      </c>
      <c r="N104" s="58" t="s">
        <v>21</v>
      </c>
      <c r="O104" s="48">
        <f>1546810.8</f>
        <v>1546810.8</v>
      </c>
      <c r="P104" s="48">
        <f>1663504.58</f>
        <v>1663504.58</v>
      </c>
      <c r="Q104" s="48">
        <f>1812207.13</f>
        <v>1812207.13</v>
      </c>
      <c r="R104" s="48">
        <f>1807700.56</f>
        <v>1807700.56</v>
      </c>
      <c r="S104" s="58" t="s">
        <v>21</v>
      </c>
      <c r="T104" s="58" t="s">
        <v>21</v>
      </c>
      <c r="U104" s="58" t="s">
        <v>21</v>
      </c>
      <c r="V104" s="58" t="s">
        <v>21</v>
      </c>
      <c r="W104" s="58" t="s">
        <v>21</v>
      </c>
      <c r="X104" s="58" t="s">
        <v>21</v>
      </c>
      <c r="Y104" s="58" t="s">
        <v>21</v>
      </c>
    </row>
    <row r="105" spans="1:25">
      <c r="A105" s="44" t="s">
        <v>193</v>
      </c>
      <c r="B105" s="45">
        <v>0</v>
      </c>
      <c r="C105" s="45" t="s">
        <v>21</v>
      </c>
      <c r="D105" s="46"/>
      <c r="E105" s="47" t="s">
        <v>194</v>
      </c>
      <c r="F105" s="58" t="s">
        <v>21</v>
      </c>
      <c r="G105" s="58" t="s">
        <v>21</v>
      </c>
      <c r="H105" s="58" t="s">
        <v>21</v>
      </c>
      <c r="I105" s="58" t="s">
        <v>21</v>
      </c>
      <c r="J105" s="48">
        <f>0</f>
        <v>0</v>
      </c>
      <c r="K105" s="58" t="s">
        <v>21</v>
      </c>
      <c r="L105" s="58" t="s">
        <v>21</v>
      </c>
      <c r="M105" s="59" t="s">
        <v>21</v>
      </c>
      <c r="N105" s="58" t="s">
        <v>21</v>
      </c>
      <c r="O105" s="48">
        <f>0</f>
        <v>0</v>
      </c>
      <c r="P105" s="48">
        <f>0</f>
        <v>0</v>
      </c>
      <c r="Q105" s="48">
        <f>0</f>
        <v>0</v>
      </c>
      <c r="R105" s="48">
        <f>0</f>
        <v>0</v>
      </c>
      <c r="S105" s="58" t="s">
        <v>21</v>
      </c>
      <c r="T105" s="58" t="s">
        <v>21</v>
      </c>
      <c r="U105" s="58" t="s">
        <v>21</v>
      </c>
      <c r="V105" s="58" t="s">
        <v>21</v>
      </c>
      <c r="W105" s="58" t="s">
        <v>21</v>
      </c>
      <c r="X105" s="58" t="s">
        <v>21</v>
      </c>
      <c r="Y105" s="58" t="s">
        <v>21</v>
      </c>
    </row>
    <row r="106" spans="1:25">
      <c r="A106" s="44" t="s">
        <v>195</v>
      </c>
      <c r="B106" s="45">
        <v>0</v>
      </c>
      <c r="C106" s="45" t="s">
        <v>21</v>
      </c>
      <c r="D106" s="46"/>
      <c r="E106" s="47" t="s">
        <v>196</v>
      </c>
      <c r="F106" s="58" t="s">
        <v>21</v>
      </c>
      <c r="G106" s="58" t="s">
        <v>21</v>
      </c>
      <c r="H106" s="58" t="s">
        <v>21</v>
      </c>
      <c r="I106" s="58" t="s">
        <v>21</v>
      </c>
      <c r="J106" s="48">
        <f>0</f>
        <v>0</v>
      </c>
      <c r="K106" s="58" t="s">
        <v>21</v>
      </c>
      <c r="L106" s="58" t="s">
        <v>21</v>
      </c>
      <c r="M106" s="59" t="s">
        <v>21</v>
      </c>
      <c r="N106" s="58" t="s">
        <v>21</v>
      </c>
      <c r="O106" s="48">
        <f>0</f>
        <v>0</v>
      </c>
      <c r="P106" s="48">
        <f>0</f>
        <v>0</v>
      </c>
      <c r="Q106" s="48">
        <f>0</f>
        <v>0</v>
      </c>
      <c r="R106" s="48">
        <f>0</f>
        <v>0</v>
      </c>
      <c r="S106" s="58" t="s">
        <v>21</v>
      </c>
      <c r="T106" s="58" t="s">
        <v>21</v>
      </c>
      <c r="U106" s="58" t="s">
        <v>21</v>
      </c>
      <c r="V106" s="58" t="s">
        <v>21</v>
      </c>
      <c r="W106" s="58" t="s">
        <v>21</v>
      </c>
      <c r="X106" s="58" t="s">
        <v>21</v>
      </c>
      <c r="Y106" s="58" t="s">
        <v>21</v>
      </c>
    </row>
    <row r="107" spans="1:25">
      <c r="A107" s="44" t="s">
        <v>197</v>
      </c>
      <c r="B107" s="45">
        <v>0</v>
      </c>
      <c r="C107" s="45" t="s">
        <v>21</v>
      </c>
      <c r="D107" s="46"/>
      <c r="E107" s="51" t="s">
        <v>198</v>
      </c>
      <c r="F107" s="58" t="s">
        <v>21</v>
      </c>
      <c r="G107" s="58" t="s">
        <v>21</v>
      </c>
      <c r="H107" s="58" t="s">
        <v>21</v>
      </c>
      <c r="I107" s="58" t="s">
        <v>21</v>
      </c>
      <c r="J107" s="48">
        <f>0</f>
        <v>0</v>
      </c>
      <c r="K107" s="58" t="s">
        <v>21</v>
      </c>
      <c r="L107" s="58" t="s">
        <v>21</v>
      </c>
      <c r="M107" s="59" t="s">
        <v>21</v>
      </c>
      <c r="N107" s="58" t="s">
        <v>21</v>
      </c>
      <c r="O107" s="48">
        <f>0</f>
        <v>0</v>
      </c>
      <c r="P107" s="48">
        <f>0</f>
        <v>0</v>
      </c>
      <c r="Q107" s="48">
        <f>0</f>
        <v>0</v>
      </c>
      <c r="R107" s="48">
        <f>0</f>
        <v>0</v>
      </c>
      <c r="S107" s="58" t="s">
        <v>21</v>
      </c>
      <c r="T107" s="58" t="s">
        <v>21</v>
      </c>
      <c r="U107" s="58" t="s">
        <v>21</v>
      </c>
      <c r="V107" s="58" t="s">
        <v>21</v>
      </c>
      <c r="W107" s="58" t="s">
        <v>21</v>
      </c>
      <c r="X107" s="58" t="s">
        <v>21</v>
      </c>
      <c r="Y107" s="58" t="s">
        <v>21</v>
      </c>
    </row>
    <row r="108" spans="1:25" ht="24">
      <c r="A108" s="44" t="s">
        <v>199</v>
      </c>
      <c r="B108" s="45">
        <v>0</v>
      </c>
      <c r="C108" s="45" t="s">
        <v>21</v>
      </c>
      <c r="D108" s="46"/>
      <c r="E108" s="51" t="s">
        <v>200</v>
      </c>
      <c r="F108" s="58" t="s">
        <v>21</v>
      </c>
      <c r="G108" s="58" t="s">
        <v>21</v>
      </c>
      <c r="H108" s="58" t="s">
        <v>21</v>
      </c>
      <c r="I108" s="58" t="s">
        <v>21</v>
      </c>
      <c r="J108" s="48">
        <f>0</f>
        <v>0</v>
      </c>
      <c r="K108" s="58" t="s">
        <v>21</v>
      </c>
      <c r="L108" s="58" t="s">
        <v>21</v>
      </c>
      <c r="M108" s="59" t="s">
        <v>21</v>
      </c>
      <c r="N108" s="58" t="s">
        <v>21</v>
      </c>
      <c r="O108" s="48">
        <f>0</f>
        <v>0</v>
      </c>
      <c r="P108" s="48">
        <f>0</f>
        <v>0</v>
      </c>
      <c r="Q108" s="48">
        <f>0</f>
        <v>0</v>
      </c>
      <c r="R108" s="48">
        <f>0</f>
        <v>0</v>
      </c>
      <c r="S108" s="58" t="s">
        <v>21</v>
      </c>
      <c r="T108" s="58" t="s">
        <v>21</v>
      </c>
      <c r="U108" s="58" t="s">
        <v>21</v>
      </c>
      <c r="V108" s="58" t="s">
        <v>21</v>
      </c>
      <c r="W108" s="58" t="s">
        <v>21</v>
      </c>
      <c r="X108" s="58" t="s">
        <v>21</v>
      </c>
      <c r="Y108" s="58" t="s">
        <v>21</v>
      </c>
    </row>
    <row r="109" spans="1:25">
      <c r="A109" s="44" t="s">
        <v>201</v>
      </c>
      <c r="B109" s="45">
        <v>0</v>
      </c>
      <c r="C109" s="45" t="s">
        <v>21</v>
      </c>
      <c r="D109" s="46"/>
      <c r="E109" s="51" t="s">
        <v>202</v>
      </c>
      <c r="F109" s="58" t="s">
        <v>21</v>
      </c>
      <c r="G109" s="58" t="s">
        <v>21</v>
      </c>
      <c r="H109" s="58" t="s">
        <v>21</v>
      </c>
      <c r="I109" s="58" t="s">
        <v>21</v>
      </c>
      <c r="J109" s="48">
        <f>0</f>
        <v>0</v>
      </c>
      <c r="K109" s="58" t="s">
        <v>21</v>
      </c>
      <c r="L109" s="58" t="s">
        <v>21</v>
      </c>
      <c r="M109" s="59" t="s">
        <v>21</v>
      </c>
      <c r="N109" s="58" t="s">
        <v>21</v>
      </c>
      <c r="O109" s="48">
        <f>0</f>
        <v>0</v>
      </c>
      <c r="P109" s="48">
        <f>0</f>
        <v>0</v>
      </c>
      <c r="Q109" s="48">
        <f>0</f>
        <v>0</v>
      </c>
      <c r="R109" s="48">
        <f>0</f>
        <v>0</v>
      </c>
      <c r="S109" s="58" t="s">
        <v>21</v>
      </c>
      <c r="T109" s="58" t="s">
        <v>21</v>
      </c>
      <c r="U109" s="58" t="s">
        <v>21</v>
      </c>
      <c r="V109" s="58" t="s">
        <v>21</v>
      </c>
      <c r="W109" s="58" t="s">
        <v>21</v>
      </c>
      <c r="X109" s="58" t="s">
        <v>21</v>
      </c>
      <c r="Y109" s="58" t="s">
        <v>21</v>
      </c>
    </row>
    <row r="110" spans="1:25" ht="24.75" thickBot="1">
      <c r="A110" s="71" t="s">
        <v>203</v>
      </c>
      <c r="B110" s="72">
        <v>0</v>
      </c>
      <c r="C110" s="72" t="s">
        <v>21</v>
      </c>
      <c r="D110" s="73"/>
      <c r="E110" s="74" t="s">
        <v>204</v>
      </c>
      <c r="F110" s="75" t="s">
        <v>21</v>
      </c>
      <c r="G110" s="75" t="s">
        <v>21</v>
      </c>
      <c r="H110" s="75" t="s">
        <v>21</v>
      </c>
      <c r="I110" s="75" t="s">
        <v>21</v>
      </c>
      <c r="J110" s="76">
        <f>0</f>
        <v>0</v>
      </c>
      <c r="K110" s="75" t="s">
        <v>21</v>
      </c>
      <c r="L110" s="75" t="s">
        <v>21</v>
      </c>
      <c r="M110" s="77" t="s">
        <v>21</v>
      </c>
      <c r="N110" s="58" t="s">
        <v>21</v>
      </c>
      <c r="O110" s="48">
        <f>0</f>
        <v>0</v>
      </c>
      <c r="P110" s="48">
        <f>0</f>
        <v>0</v>
      </c>
      <c r="Q110" s="48">
        <f>0</f>
        <v>0</v>
      </c>
      <c r="R110" s="48">
        <f>0</f>
        <v>0</v>
      </c>
      <c r="S110" s="58" t="s">
        <v>21</v>
      </c>
      <c r="T110" s="58" t="s">
        <v>21</v>
      </c>
      <c r="U110" s="58" t="s">
        <v>21</v>
      </c>
      <c r="V110" s="58" t="s">
        <v>21</v>
      </c>
      <c r="W110" s="58" t="s">
        <v>21</v>
      </c>
      <c r="X110" s="58" t="s">
        <v>21</v>
      </c>
      <c r="Y110" s="58" t="s">
        <v>21</v>
      </c>
    </row>
    <row r="111" spans="1:25">
      <c r="A111" s="78">
        <v>15</v>
      </c>
      <c r="B111" s="36">
        <v>0</v>
      </c>
      <c r="C111" s="36"/>
      <c r="D111" s="79"/>
      <c r="E111" s="80" t="s">
        <v>205</v>
      </c>
      <c r="F111" s="81" t="s">
        <v>21</v>
      </c>
      <c r="G111" s="81" t="s">
        <v>21</v>
      </c>
      <c r="H111" s="81" t="s">
        <v>21</v>
      </c>
      <c r="I111" s="81" t="s">
        <v>21</v>
      </c>
      <c r="J111" s="81" t="s">
        <v>21</v>
      </c>
      <c r="K111" s="81" t="s">
        <v>21</v>
      </c>
      <c r="L111" s="81" t="s">
        <v>21</v>
      </c>
      <c r="M111" s="81" t="s">
        <v>21</v>
      </c>
      <c r="N111" s="61" t="s">
        <v>21</v>
      </c>
      <c r="O111" s="61" t="s">
        <v>21</v>
      </c>
      <c r="P111" s="61" t="s">
        <v>21</v>
      </c>
      <c r="Q111" s="61" t="s">
        <v>21</v>
      </c>
      <c r="R111" s="61" t="s">
        <v>21</v>
      </c>
      <c r="S111" s="61" t="s">
        <v>21</v>
      </c>
      <c r="T111" s="61" t="s">
        <v>21</v>
      </c>
      <c r="U111" s="61" t="s">
        <v>21</v>
      </c>
      <c r="V111" s="61" t="s">
        <v>21</v>
      </c>
      <c r="W111" s="61" t="s">
        <v>21</v>
      </c>
      <c r="X111" s="61" t="s">
        <v>21</v>
      </c>
      <c r="Y111" s="61" t="s">
        <v>21</v>
      </c>
    </row>
    <row r="112" spans="1:25">
      <c r="A112" s="82" t="s">
        <v>206</v>
      </c>
      <c r="B112" s="45">
        <v>0</v>
      </c>
      <c r="C112" s="45"/>
      <c r="E112" s="83" t="s">
        <v>207</v>
      </c>
      <c r="F112" s="58" t="s">
        <v>21</v>
      </c>
      <c r="G112" s="58" t="s">
        <v>21</v>
      </c>
      <c r="H112" s="58" t="s">
        <v>21</v>
      </c>
      <c r="I112" s="58" t="s">
        <v>21</v>
      </c>
      <c r="J112" s="48">
        <f>0</f>
        <v>0</v>
      </c>
      <c r="K112" s="58" t="s">
        <v>21</v>
      </c>
      <c r="L112" s="58" t="s">
        <v>21</v>
      </c>
      <c r="M112" s="58" t="s">
        <v>21</v>
      </c>
      <c r="N112" s="58" t="s">
        <v>21</v>
      </c>
      <c r="O112" s="48">
        <f>0</f>
        <v>0</v>
      </c>
      <c r="P112" s="48">
        <f>0</f>
        <v>0</v>
      </c>
      <c r="Q112" s="48">
        <f>0</f>
        <v>0</v>
      </c>
      <c r="R112" s="48">
        <f>0</f>
        <v>0</v>
      </c>
      <c r="S112" s="58" t="s">
        <v>21</v>
      </c>
      <c r="T112" s="58" t="s">
        <v>21</v>
      </c>
      <c r="U112" s="58" t="s">
        <v>21</v>
      </c>
      <c r="V112" s="58" t="s">
        <v>21</v>
      </c>
      <c r="W112" s="58" t="s">
        <v>21</v>
      </c>
      <c r="X112" s="58" t="s">
        <v>21</v>
      </c>
      <c r="Y112" s="58" t="s">
        <v>21</v>
      </c>
    </row>
    <row r="113" spans="1:25">
      <c r="A113" s="82" t="s">
        <v>208</v>
      </c>
      <c r="B113" s="45">
        <v>0</v>
      </c>
      <c r="C113" s="45" t="s">
        <v>21</v>
      </c>
      <c r="E113" s="84" t="s">
        <v>209</v>
      </c>
      <c r="F113" s="58" t="s">
        <v>21</v>
      </c>
      <c r="G113" s="58" t="s">
        <v>21</v>
      </c>
      <c r="H113" s="58" t="s">
        <v>21</v>
      </c>
      <c r="I113" s="58" t="s">
        <v>21</v>
      </c>
      <c r="J113" s="48">
        <f>0</f>
        <v>0</v>
      </c>
      <c r="K113" s="58" t="s">
        <v>21</v>
      </c>
      <c r="L113" s="58" t="s">
        <v>21</v>
      </c>
      <c r="M113" s="58" t="s">
        <v>21</v>
      </c>
      <c r="N113" s="58" t="s">
        <v>21</v>
      </c>
      <c r="O113" s="48">
        <f>0</f>
        <v>0</v>
      </c>
      <c r="P113" s="48">
        <f>0</f>
        <v>0</v>
      </c>
      <c r="Q113" s="48">
        <f>0</f>
        <v>0</v>
      </c>
      <c r="R113" s="48">
        <f>0</f>
        <v>0</v>
      </c>
      <c r="S113" s="58" t="s">
        <v>21</v>
      </c>
      <c r="T113" s="58" t="s">
        <v>21</v>
      </c>
      <c r="U113" s="58" t="s">
        <v>21</v>
      </c>
      <c r="V113" s="58" t="s">
        <v>21</v>
      </c>
      <c r="W113" s="58" t="s">
        <v>21</v>
      </c>
      <c r="X113" s="58" t="s">
        <v>21</v>
      </c>
      <c r="Y113" s="58" t="s">
        <v>21</v>
      </c>
    </row>
    <row r="114" spans="1:25" ht="24">
      <c r="A114" s="85" t="s">
        <v>210</v>
      </c>
      <c r="B114" s="86">
        <v>0</v>
      </c>
      <c r="C114" s="86" t="s">
        <v>21</v>
      </c>
      <c r="E114" s="87" t="s">
        <v>211</v>
      </c>
      <c r="F114" s="58" t="s">
        <v>21</v>
      </c>
      <c r="G114" s="58" t="s">
        <v>21</v>
      </c>
      <c r="H114" s="58" t="s">
        <v>21</v>
      </c>
      <c r="I114" s="58" t="s">
        <v>21</v>
      </c>
      <c r="J114" s="48">
        <f>0</f>
        <v>0</v>
      </c>
      <c r="K114" s="58" t="s">
        <v>21</v>
      </c>
      <c r="L114" s="58" t="s">
        <v>21</v>
      </c>
      <c r="M114" s="58" t="s">
        <v>21</v>
      </c>
      <c r="N114" s="58" t="s">
        <v>21</v>
      </c>
      <c r="O114" s="48">
        <f>0</f>
        <v>0</v>
      </c>
      <c r="P114" s="48">
        <f>0</f>
        <v>0</v>
      </c>
      <c r="Q114" s="48">
        <f>0</f>
        <v>0</v>
      </c>
      <c r="R114" s="48">
        <f>0</f>
        <v>0</v>
      </c>
      <c r="S114" s="58" t="s">
        <v>21</v>
      </c>
      <c r="T114" s="58" t="s">
        <v>21</v>
      </c>
      <c r="U114" s="58" t="s">
        <v>21</v>
      </c>
      <c r="V114" s="58" t="s">
        <v>21</v>
      </c>
      <c r="W114" s="58" t="s">
        <v>21</v>
      </c>
      <c r="X114" s="58" t="s">
        <v>21</v>
      </c>
      <c r="Y114" s="58" t="s">
        <v>21</v>
      </c>
    </row>
  </sheetData>
  <sheetProtection formatCells="0" formatColumns="0" formatRows="0" insertColumns="0" deleteColumns="0"/>
  <autoFilter ref="B9:Q114"/>
  <mergeCells count="28">
    <mergeCell ref="F7:I7"/>
    <mergeCell ref="K8:N8"/>
    <mergeCell ref="O8:R8"/>
    <mergeCell ref="S8:Y8"/>
    <mergeCell ref="F71:F72"/>
    <mergeCell ref="G71:G72"/>
    <mergeCell ref="H71:H72"/>
    <mergeCell ref="I71:I72"/>
    <mergeCell ref="K71:K72"/>
    <mergeCell ref="L71:L72"/>
    <mergeCell ref="L99:L100"/>
    <mergeCell ref="S99:S100"/>
    <mergeCell ref="M71:M72"/>
    <mergeCell ref="N71:N72"/>
    <mergeCell ref="S71:S72"/>
    <mergeCell ref="F99:F100"/>
    <mergeCell ref="G99:G100"/>
    <mergeCell ref="H99:H100"/>
    <mergeCell ref="I99:I100"/>
    <mergeCell ref="K99:K100"/>
    <mergeCell ref="T99:T100"/>
    <mergeCell ref="U99:U100"/>
    <mergeCell ref="W71:W72"/>
    <mergeCell ref="X71:X72"/>
    <mergeCell ref="Y71:Y72"/>
    <mergeCell ref="T71:T72"/>
    <mergeCell ref="U71:U72"/>
    <mergeCell ref="V71:V72"/>
  </mergeCells>
  <conditionalFormatting sqref="J61:J62 O61:Q62">
    <cfRule type="expression" dxfId="7" priority="8" stopIfTrue="1">
      <formula>LEFT(J61,3)="Nie"</formula>
    </cfRule>
  </conditionalFormatting>
  <conditionalFormatting sqref="T10:X114">
    <cfRule type="cellIs" dxfId="6" priority="6" stopIfTrue="1" operator="lessThan">
      <formula>0</formula>
    </cfRule>
    <cfRule type="cellIs" dxfId="5" priority="7" stopIfTrue="1" operator="greaterThan">
      <formula>0</formula>
    </cfRule>
  </conditionalFormatting>
  <conditionalFormatting sqref="R61:R62">
    <cfRule type="expression" dxfId="4" priority="5" stopIfTrue="1">
      <formula>LEFT(R61,3)="Nie"</formula>
    </cfRule>
  </conditionalFormatting>
  <conditionalFormatting sqref="Y10:Y114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S10:S11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" right="0" top="0.55118110236220474" bottom="0.35433070866141736" header="0.31496062992125984" footer="0.31496062992125984"/>
  <pageSetup paperSize="9" scale="69" fitToHeight="0" orientation="portrait" blackAndWhite="1" horizontalDpi="4294967293" verticalDpi="4294967293" r:id="rId1"/>
  <headerFooter>
    <oddHeader>&amp;C&amp;"Czcionka tekstu podstawowego,Pogrubiony"&amp;16Informacja o kształtowaniu się Wieloletniej Prognozy Finansowej w I półroczu 2016 r.&amp;RZałącznik Nr 1</oddHeader>
  </headerFooter>
  <rowBreaks count="1" manualBreakCount="1">
    <brk id="61" max="12" man="1"/>
  </rowBreaks>
  <colBreaks count="1" manualBreakCount="1">
    <brk id="14" min="7" max="10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WPF a Rb (wybr okr)</vt:lpstr>
      <vt:lpstr>'WPF a Rb (wybr okr)'!Obszar_wydruku</vt:lpstr>
      <vt:lpstr>'WPF a Rb (wybr okr)'!Tytuły_wydruku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Przedaszek</dc:creator>
  <cp:lastModifiedBy>Bożena Przedaszek</cp:lastModifiedBy>
  <cp:lastPrinted>2016-08-05T11:49:22Z</cp:lastPrinted>
  <dcterms:created xsi:type="dcterms:W3CDTF">2016-08-05T11:42:58Z</dcterms:created>
  <dcterms:modified xsi:type="dcterms:W3CDTF">2016-08-05T11:54:51Z</dcterms:modified>
</cp:coreProperties>
</file>